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2.xml" ContentType="application/vnd.openxmlformats-officedocument.spreadsheetml.worksheet+xml"/>
  <Override PartName="/xl/worksheets/sheet25.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1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29.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30.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8.xml" ContentType="application/vnd.openxmlformats-officedocument.spreadsheetml.worksheet+xml"/>
  <Override PartName="/xl/worksheets/sheet27.xml" ContentType="application/vnd.openxmlformats-officedocument.spreadsheetml.worksheet+xml"/>
  <Override PartName="/xl/worksheets/sheet24.xml" ContentType="application/vnd.openxmlformats-officedocument.spreadsheetml.worksheet+xml"/>
  <Override PartName="/xl/worksheets/sheet11.xml" ContentType="application/vnd.openxmlformats-officedocument.spreadsheetml.worksheet+xml"/>
  <Override PartName="/xl/worksheets/sheet16.xml" ContentType="application/vnd.openxmlformats-officedocument.spreadsheetml.worksheet+xml"/>
  <Override PartName="/xl/worksheets/sheet31.xml" ContentType="application/vnd.openxmlformats-officedocument.spreadsheetml.worksheet+xml"/>
  <Override PartName="/xl/worksheets/sheet22.xml" ContentType="application/vnd.openxmlformats-officedocument.spreadsheetml.worksheet+xml"/>
  <Override PartName="/xl/worksheets/sheet28.xml" ContentType="application/vnd.openxmlformats-officedocument.spreadsheetml.worksheet+xml"/>
  <Override PartName="/xl/worksheets/sheet9.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4.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2.xml" ContentType="application/vnd.openxmlformats-officedocument.drawing+xml"/>
  <Override PartName="/xl/drawings/drawing14.xml" ContentType="application/vnd.openxmlformats-officedocument.drawing+xml"/>
  <Override PartName="/xl/charts/style1.xml" ContentType="application/vnd.ms-office.chartstyle+xml"/>
  <Override PartName="/xl/charts/style2.xml" ContentType="application/vnd.ms-office.chartstyle+xml"/>
  <Override PartName="/xl/charts/colors2.xml" ContentType="application/vnd.ms-office.chartcolorstyle+xml"/>
  <Override PartName="/xl/charts/chart1.xml" ContentType="application/vnd.openxmlformats-officedocument.drawingml.chart+xml"/>
  <Override PartName="/xl/charts/chart7.xml" ContentType="application/vnd.openxmlformats-officedocument.drawingml.chart+xml"/>
  <Override PartName="/xl/charts/colors8.xml" ContentType="application/vnd.ms-office.chartcolorstyle+xml"/>
  <Override PartName="/xl/charts/colors3.xml" ContentType="application/vnd.ms-office.chartcolorstyle+xml"/>
  <Override PartName="/xl/charts/chart2.xml" ContentType="application/vnd.openxmlformats-officedocument.drawingml.chart+xml"/>
  <Override PartName="/xl/charts/colors1.xml" ContentType="application/vnd.ms-office.chartcolorstyle+xml"/>
  <Override PartName="/xl/charts/colors10.xml" ContentType="application/vnd.ms-office.chartcolorstyle+xml"/>
  <Override PartName="/xl/charts/chart3.xml" ContentType="application/vnd.openxmlformats-officedocument.drawingml.chart+xml"/>
  <Override PartName="/xl/charts/colors4.xml" ContentType="application/vnd.ms-office.chartcolorstyle+xml"/>
  <Override PartName="/xl/charts/style10.xml" ContentType="application/vnd.ms-office.chartstyle+xml"/>
  <Override PartName="/xl/charts/chart4.xml" ContentType="application/vnd.openxmlformats-officedocument.drawingml.chart+xml"/>
  <Override PartName="/xl/charts/style3.xml" ContentType="application/vnd.ms-office.chartstyle+xml"/>
  <Override PartName="/xl/charts/style5.xml" ContentType="application/vnd.ms-office.chartstyle+xml"/>
  <Override PartName="/xl/charts/colors5.xml" ContentType="application/vnd.ms-office.chartcolorstyle+xml"/>
  <Override PartName="/xl/charts/colors6.xml" ContentType="application/vnd.ms-office.chartcolorstyle+xml"/>
  <Override PartName="/xl/charts/chart5.xml" ContentType="application/vnd.openxmlformats-officedocument.drawingml.chart+xml"/>
  <Override PartName="/xl/charts/style7.xml" ContentType="application/vnd.ms-office.chartstyle+xml"/>
  <Override PartName="/xl/charts/chart6.xml" ContentType="application/vnd.openxmlformats-officedocument.drawingml.chart+xml"/>
  <Override PartName="/xl/charts/style8.xml" ContentType="application/vnd.ms-office.chartstyle+xml"/>
  <Override PartName="/xl/charts/chart9.xml" ContentType="application/vnd.openxmlformats-officedocument.drawingml.chart+xml"/>
  <Override PartName="/xl/charts/colors7.xml" ContentType="application/vnd.ms-office.chartcolorstyle+xml"/>
  <Override PartName="/xl/charts/chart8.xml" ContentType="application/vnd.openxmlformats-officedocument.drawingml.chart+xml"/>
  <Override PartName="/xl/charts/style9.xml" ContentType="application/vnd.ms-office.chartstyle+xml"/>
  <Override PartName="/xl/charts/style6.xml" ContentType="application/vnd.ms-office.chartstyle+xml"/>
  <Override PartName="/xl/charts/style4.xml" ContentType="application/vnd.ms-office.chartstyle+xml"/>
  <Override PartName="/xl/charts/chart10.xml" ContentType="application/vnd.openxmlformats-officedocument.drawingml.chart+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Executive Summary" sheetId="1" state="visible" r:id="rId3"/>
    <sheet name="Contents" sheetId="2" state="visible" r:id="rId4"/>
    <sheet name="Overview" sheetId="3" state="visible" r:id="rId5"/>
    <sheet name="Renders" sheetId="4" state="visible" r:id="rId6"/>
    <sheet name="Cost waterfall" sheetId="5" state="visible" r:id="rId7"/>
    <sheet name="Financial model" sheetId="6" state="visible" r:id="rId8"/>
    <sheet name="Bill of Materials (Ledger)" sheetId="7" state="visible" r:id="rId9"/>
    <sheet name="Brief" sheetId="8" state="visible" r:id="rId10"/>
    <sheet name="Design basis" sheetId="9" state="visible" r:id="rId11"/>
    <sheet name="Drawings" sheetId="10" state="visible" r:id="rId12"/>
    <sheet name="BFD — Block Flow" sheetId="11" state="visible" r:id="rId13"/>
    <sheet name="P&amp;ID" sheetId="12" state="visible" r:id="rId14"/>
    <sheet name="Process schedules" sheetId="13" state="visible" r:id="rId15"/>
    <sheet name="GA — General Arrangement" sheetId="14" state="visible" r:id="rId16"/>
    <sheet name="HVAC" sheetId="15" state="visible" r:id="rId17"/>
    <sheet name="Electrical" sheetId="16" state="visible" r:id="rId18"/>
    <sheet name="Line &amp; velocity" sheetId="17" state="visible" r:id="rId19"/>
    <sheet name="Assembly sequence" sheetId="18" state="visible" r:id="rId20"/>
    <sheet name="Risk &amp; Regulatory" sheetId="19" state="visible" r:id="rId21"/>
    <sheet name="Holds &amp; exclusions" sheetId="20" state="visible" r:id="rId22"/>
    <sheet name="Questions for the customer" sheetId="21" state="visible" r:id="rId23"/>
    <sheet name="Quality &amp; Audit" sheetId="22" state="visible" r:id="rId24"/>
    <sheet name="Sense-check" sheetId="23" state="visible" r:id="rId25"/>
    <sheet name="⚠ Checks" sheetId="24" state="visible" r:id="rId26"/>
    <sheet name="Connection trace" sheetId="25" state="visible" r:id="rId27"/>
    <sheet name="Quantities" sheetId="26" state="visible" r:id="rId28"/>
    <sheet name="Calculations" sheetId="27" state="visible" r:id="rId29"/>
    <sheet name="Inputs &amp; Assumptions" sheetId="28" state="visible" r:id="rId30"/>
    <sheet name="Part names" sheetId="29" state="visible" r:id="rId31"/>
    <sheet name="Glossary" sheetId="30" state="visible" r:id="rId32"/>
    <sheet name="Audit data" sheetId="31" state="visible" r:id="rId33"/>
  </sheets>
  <definedNames>
    <definedName function="false" hidden="true" localSheetId="6" name="_xlnm._FilterDatabase" vbProcedure="false">'Bill of Materials (Ledger)'!$A$4:$O$418</definedName>
    <definedName function="false" hidden="true" localSheetId="24" name="_xlnm._FilterDatabase" vbProcedure="false">'Connection trace'!$A$5:$F$53</definedName>
    <definedName function="false" hidden="true" localSheetId="15" name="_xlnm._FilterDatabase" vbProcedure="false">Electrical!$A$93:$J$95</definedName>
    <definedName function="false" hidden="true" localSheetId="28" name="_xlnm._FilterDatabase" vbProcedure="false">'Part names'!$A$4:$D$102</definedName>
    <definedName function="false" hidden="true" localSheetId="12" name="_xlnm._FilterDatabase" vbProcedure="false">'Process schedules'!$A$43:$I$65</definedName>
    <definedName function="false" hidden="true" localSheetId="25" name="_xlnm._FilterDatabase" vbProcedure="false">Quantities!$A$4:$H$117</definedName>
    <definedName function="false" hidden="true" localSheetId="18" name="_xlnm._FilterDatabase" vbProcedure="false">'Risk &amp; Regulatory'!$A$5:$N$15</definedName>
    <definedName function="false" hidden="false" name="in_capex" vbProcedure="false">'Inputs &amp; Assumptions'!$B$18</definedName>
    <definedName function="false" hidden="false" name="in_discount_rate" vbProcedure="false">'Inputs &amp; Assumptions'!$B$20</definedName>
    <definedName function="false" hidden="false" name="in_energy_price" vbProcedure="false">'Inputs &amp; Assumptions'!$B$9</definedName>
    <definedName function="false" hidden="false" name="in_fcr" vbProcedure="false">'Inputs &amp; Assumptions'!$B$8</definedName>
    <definedName function="false" hidden="false" name="in_feed_price" vbProcedure="false">'Inputs &amp; Assumptions'!$B$7</definedName>
    <definedName function="false" hidden="false" name="in_flow_m3h" vbProcedure="false">'Inputs &amp; Assumptions'!$B$13</definedName>
    <definedName function="false" hidden="false" name="in_hours" vbProcedure="false">'Inputs &amp; Assumptions'!$B$12</definedName>
    <definedName function="false" hidden="false" name="in_hurdle_rate" vbProcedure="false">'Inputs &amp; Assumptions'!$B$21</definedName>
    <definedName function="false" hidden="false" name="in_labour" vbProcedure="false">'Inputs &amp; Assumptions'!$B$15</definedName>
    <definedName function="false" hidden="false" name="in_load_factor" vbProcedure="false">'Inputs &amp; Assumptions'!$B$11</definedName>
    <definedName function="false" hidden="false" name="in_load_kw" vbProcedure="false">'Inputs &amp; Assumptions'!$B$10</definedName>
    <definedName function="false" hidden="false" name="in_maint_pct" vbProcedure="false">'Inputs &amp; Assumptions'!$B$16</definedName>
    <definedName function="false" hidden="false" name="in_other_opex" vbProcedure="false">'Inputs &amp; Assumptions'!$B$17</definedName>
    <definedName function="false" hidden="false" name="in_out_qty" vbProcedure="false">'Inputs &amp; Assumptions'!$B$5</definedName>
    <definedName function="false" hidden="false" name="in_project_life" vbProcedure="false">'Inputs &amp; Assumptions'!$B$22</definedName>
    <definedName function="false" hidden="false" name="in_sale_price" vbProcedure="false">'Inputs &amp; Assumptions'!$B$6</definedName>
    <definedName function="false" hidden="false" name="in_scale_exp" vbProcedure="false">'Inputs &amp; Assumptions'!$B$19</definedName>
    <definedName function="false" hidden="false" name="in_water_util" vbProcedure="false">'Inputs &amp; Assumptions'!$B$14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<sst xmlns="http://schemas.openxmlformats.org/spreadsheetml/2006/main" count="9299" uniqueCount="4204">
  <si>
    <t xml:space="preserve">Fractional Forge Engineering Dossier — Water treatment</t>
  </si>
  <si>
    <t xml:space="preserve">The engineering reality of your hardware idea — a buildable design, a real bill of materials, the true cost, and who can make it. The detail is in the tabs; this page is the summary.</t>
  </si>
  <si>
    <t xml:space="preserve">WHAT IT IS</t>
  </si>
  <si>
    <t xml:space="preserve">Water treatment</t>
  </si>
  <si>
    <t xml:space="preserve">OUTPUT</t>
  </si>
  <si>
    <t xml:space="preserve">90 m³/h</t>
  </si>
  <si>
    <t xml:space="preserve">Irrigation Demand delivered · serves 6,000 Cultivation Containers Count</t>
  </si>
  <si>
    <t xml:space="preserve">ALL-IN INSTALLED COST</t>
  </si>
  <si>
    <t xml:space="preserve">£1,375,105</t>
  </si>
  <si>
    <t xml:space="preserve">STATUS</t>
  </si>
  <si>
    <t xml:space="preserve">One verdict for the whole dossier — the floor is the minimum score of every section and tab; it ships when all are ≥8. Detail: Quality &amp; Audit tab.</t>
  </si>
  <si>
    <t xml:space="preserve">This dossier specifies a Water treatment — 90 m³/h (irrigation demand delivered), serving 6,000 cultivation containers count. The engine values the build at £1,375,105 (all-in installed cost). An independent market benchmark flags 1 dimension where the design diverges from the brief/market expectation — see the ⚠ Checks tab for the routed detail. Every figure in this workbook — the bill of materials, the costs, and the specifications below — is derived deterministically from the engineering contract, computed rather than estimated by hand.</t>
  </si>
  <si>
    <t xml:space="preserve">Key specifications &amp; brief compliance — every target deterministically verified</t>
  </si>
  <si>
    <t xml:space="preserve">Brief metric</t>
  </si>
  <si>
    <t xml:space="preserve">Target</t>
  </si>
  <si>
    <t xml:space="preserve">Unit</t>
  </si>
  <si>
    <t xml:space="preserve">Matched contract quantity</t>
  </si>
  <si>
    <t xml:space="preserve">Achieved</t>
  </si>
  <si>
    <t xml:space="preserve">Direction</t>
  </si>
  <si>
    <t xml:space="preserve">Note</t>
  </si>
  <si>
    <t xml:space="preserve">Cell check</t>
  </si>
  <si>
    <t xml:space="preserve">Cultivation containers count</t>
  </si>
  <si>
    <t xml:space="preserve">count</t>
  </si>
  <si>
    <t xml:space="preserve">Cultivation container count</t>
  </si>
  <si>
    <t xml:space="preserve">≥ target (meet/exceed)</t>
  </si>
  <si>
    <t xml:space="preserve">brief key: cultivation_containers_count → contract: cultivation_container_count · unit family: count</t>
  </si>
  <si>
    <t xml:space="preserve">Water storage capacity m3</t>
  </si>
  <si>
    <t xml:space="preserve">m3</t>
  </si>
  <si>
    <t xml:space="preserve">brief key: water_storage_capacity_m3 → contract: water_storage_capacity_m3 · unit family: volume_m3</t>
  </si>
  <si>
    <t xml:space="preserve">Actuated valves count</t>
  </si>
  <si>
    <t xml:space="preserve">Actuated distribution valve count</t>
  </si>
  <si>
    <t xml:space="preserve">brief key: actuated_valves_count → contract: actuated_distribution_valve_count · unit family: count</t>
  </si>
  <si>
    <t xml:space="preserve">Irrigation demand (m³/h)</t>
  </si>
  <si>
    <t xml:space="preserve">m3/h</t>
  </si>
  <si>
    <t xml:space="preserve">Irrigation pump flow (m³/h)</t>
  </si>
  <si>
    <t xml:space="preserve">brief key: irrigation_demand_m3_per_hr → contract: irrigation_pump_flow_m3_h · unit family: flow_m3h</t>
  </si>
  <si>
    <t xml:space="preserve">Ro permeate capacity (m³/h)</t>
  </si>
  <si>
    <t xml:space="preserve">brief key: ro_permeate_capacity_m3_per_hr → contract: ro_permeate_capacity_m3_h · unit family: flow_m3h</t>
  </si>
  <si>
    <t xml:space="preserve">Hand watering capacity (m³/h)</t>
  </si>
  <si>
    <t xml:space="preserve">Hand watering pump throughput (m³/h)</t>
  </si>
  <si>
    <t xml:space="preserve">brief key: hand_watering_capacity_m3_per_hr → contract: hand_watering_pump_throughput_m3_h · unit family: flow_m3h</t>
  </si>
  <si>
    <t xml:space="preserve">Ro recovery (%)</t>
  </si>
  <si>
    <t xml:space="preserve">%</t>
  </si>
  <si>
    <t xml:space="preserve">brief key: ro_recovery_percent → contract: ro_recovery_percent</t>
  </si>
  <si>
    <t xml:space="preserve">Where the money goes — capex by category</t>
  </si>
  <si>
    <t xml:space="preserve">Pipework &amp; valves</t>
  </si>
  <si>
    <t xml:space="preserve">█████████████████</t>
  </si>
  <si>
    <t xml:space="preserve">Filtration &amp; membranes</t>
  </si>
  <si>
    <t xml:space="preserve">██████</t>
  </si>
  <si>
    <t xml:space="preserve">Vessels, tanks &amp; columns</t>
  </si>
  <si>
    <t xml:space="preserve">█████</t>
  </si>
  <si>
    <t xml:space="preserve">Controls &amp; instrumentation</t>
  </si>
  <si>
    <t xml:space="preserve">Other equipment</t>
  </si>
  <si>
    <t xml:space="preserve">███</t>
  </si>
  <si>
    <t xml:space="preserve">Rotating equipment</t>
  </si>
  <si>
    <t xml:space="preserve">██</t>
  </si>
  <si>
    <t xml:space="preserve">Power &amp; electrical</t>
  </si>
  <si>
    <t xml:space="preserve">What's inside this workbook</t>
  </si>
  <si>
    <t xml:space="preserve">•  Bill of Materials (Ledger)</t>
  </si>
  <si>
    <t xml:space="preserve">The bill — tag, item, qty, unit £, cost basis, spec.</t>
  </si>
  <si>
    <t xml:space="preserve">•  Cost waterfall</t>
  </si>
  <si>
    <t xml:space="preserve">Bill of materials to installed price, with live running totals.</t>
  </si>
  <si>
    <t xml:space="preserve">•  Financial model</t>
  </si>
  <si>
    <t xml:space="preserve">Economics, scenarios and investment analysis, live off the Inputs tab.</t>
  </si>
  <si>
    <t xml:space="preserve">•  Calculations</t>
  </si>
  <si>
    <t xml:space="preserve">Worked calculations by tool — live Excel formulas where structured.</t>
  </si>
  <si>
    <t xml:space="preserve">•  Risk &amp; Regulatory</t>
  </si>
  <si>
    <t xml:space="preserve">Hazard and risk register, compliance verdict and statutory duties.</t>
  </si>
  <si>
    <t xml:space="preserve">•  Connection trace</t>
  </si>
  <si>
    <t xml:space="preserve">Which part connects to what, with live cell references.</t>
  </si>
  <si>
    <t xml:space="preserve">Your next steps — from design to a funded factory</t>
  </si>
  <si>
    <t xml:space="preserve">•  You have the engineering dossier</t>
  </si>
  <si>
    <t xml:space="preserve">      A buildable design, a real bill of materials, and the true cost — this document.</t>
  </si>
  <si>
    <t xml:space="preserve">→  Talk to the experts this design needs</t>
  </si>
  <si>
    <t xml:space="preserve">      We connect you to vetted specialists for the open questions the design raises.</t>
  </si>
  <si>
    <t xml:space="preserve">→  Get real supplier quotes (RFQ)</t>
  </si>
  <si>
    <t xml:space="preserve">      We take this bill of materials to suppliers and bring back real quotes.</t>
  </si>
  <si>
    <t xml:space="preserve">→  Raise the money on these numbers</t>
  </si>
  <si>
    <t xml:space="preserve">      We help you turn the validated design and costs into a fundraise.</t>
  </si>
  <si>
    <t xml:space="preserve">Fractional Forge — Tristan Fischer, Founder.  Reply to take the next step.</t>
  </si>
  <si>
    <t xml:space="preserve">Contents</t>
  </si>
  <si>
    <t xml:space="preserve">Click any tab name to jump to it. Each data tab has a '↑ Contents' link at its top-right to come back. Yellow cells anywhere are editable inputs; green cells are live formulas.</t>
  </si>
  <si>
    <t xml:space="preserve">#</t>
  </si>
  <si>
    <t xml:space="preserve">Tab</t>
  </si>
  <si>
    <t xml:space="preserve">What's on it</t>
  </si>
  <si>
    <t xml:space="preserve">Executive Summary</t>
  </si>
  <si>
    <t xml:space="preserve">The cover — what it is, cost, verdict and next steps.</t>
  </si>
  <si>
    <t xml:space="preserve">Overview</t>
  </si>
  <si>
    <t xml:space="preserve">Run provenance, quality scorecard and headline metrics.</t>
  </si>
  <si>
    <t xml:space="preserve">Renders</t>
  </si>
  <si>
    <t xml:space="preserve">Photoreal render gallery — interior hero, plan and exterior views.</t>
  </si>
  <si>
    <t xml:space="preserve">Cost waterfall</t>
  </si>
  <si>
    <t xml:space="preserve">Financial model</t>
  </si>
  <si>
    <t xml:space="preserve">Bill of Materials (Ledger)</t>
  </si>
  <si>
    <t xml:space="preserve">Brief</t>
  </si>
  <si>
    <t xml:space="preserve">Original client brief and the engine's structured interpretation.</t>
  </si>
  <si>
    <t xml:space="preserve">Design basis</t>
  </si>
  <si>
    <t xml:space="preserve">Codes, design duties, fluid and utilisation basis — with sources.</t>
  </si>
  <si>
    <t xml:space="preserve">Drawings</t>
  </si>
  <si>
    <t xml:space="preserve">Drawing register — number, revision, scale, sheets and full-size A1 files.</t>
  </si>
  <si>
    <t xml:space="preserve">BFD — Block Flow</t>
  </si>
  <si>
    <t xml:space="preserve">Block flow diagram — major process blocks &amp; streams.</t>
  </si>
  <si>
    <t xml:space="preserve">P&amp;ID</t>
  </si>
  <si>
    <t xml:space="preserve">Piping &amp; instrumentation diagram — process flow, valves, instruments.</t>
  </si>
  <si>
    <t xml:space="preserve">Process schedules</t>
  </si>
  <si>
    <t xml:space="preserve">Valve and instrument schedules; the line list is Line &amp; velocity.</t>
  </si>
  <si>
    <t xml:space="preserve">GA — General Arrangement</t>
  </si>
  <si>
    <t xml:space="preserve">General arrangement — equipment layout &amp; footprint.</t>
  </si>
  <si>
    <t xml:space="preserve">HVAC</t>
  </si>
  <si>
    <t xml:space="preserve">Ventilation &amp; climate-control schematic.</t>
  </si>
  <si>
    <t xml:space="preserve">Electrical</t>
  </si>
  <si>
    <t xml:space="preserve">Single-line diagram with the panel/load schedule — one dataset.</t>
  </si>
  <si>
    <t xml:space="preserve">Line &amp; velocity</t>
  </si>
  <si>
    <t xml:space="preserve">THE line list — every sized run versus its limit.</t>
  </si>
  <si>
    <t xml:space="preserve">Assembly sequence</t>
  </si>
  <si>
    <t xml:space="preserve">Order of works from civils through to commissioning.</t>
  </si>
  <si>
    <t xml:space="preserve">Risk &amp; Regulatory</t>
  </si>
  <si>
    <t xml:space="preserve">Holds &amp; exclusions</t>
  </si>
  <si>
    <t xml:space="preserve">Numbered open holds derived live from failing checks; scope exclusions.</t>
  </si>
  <si>
    <t xml:space="preserve">Questions for the customer</t>
  </si>
  <si>
    <t xml:space="preserve">Numbered confirm-or-correct questions — assumptions, gaps and offer divergences.</t>
  </si>
  <si>
    <t xml:space="preserve">Quality &amp; Audit</t>
  </si>
  <si>
    <t xml:space="preserve">Sections, per-tab scores and audit findings — one verdict.</t>
  </si>
  <si>
    <t xml:space="preserve">Sense-check</t>
  </si>
  <si>
    <t xml:space="preserve">Independent market benchmark versus the engine's numbers.</t>
  </si>
  <si>
    <t xml:space="preserve">⚠ Checks</t>
  </si>
  <si>
    <t xml:space="preserve">Live arithmetic invariants — red rows show numbers that don't reconcile.</t>
  </si>
  <si>
    <t xml:space="preserve">Connection trace</t>
  </si>
  <si>
    <t xml:space="preserve">Quantities</t>
  </si>
  <si>
    <t xml:space="preserve">Every sized contract quantity with family, basis and source.</t>
  </si>
  <si>
    <t xml:space="preserve">Calculations</t>
  </si>
  <si>
    <t xml:space="preserve">Inputs &amp; Assumptions</t>
  </si>
  <si>
    <t xml:space="preserve">Editable yellow drivers feeding the economics model.</t>
  </si>
  <si>
    <t xml:space="preserve">Part names</t>
  </si>
  <si>
    <t xml:space="preserve">Master parts list; every other tab references these cells.</t>
  </si>
  <si>
    <t xml:space="preserve">Glossary</t>
  </si>
  <si>
    <t xml:space="preserve">Plain-English meaning of every abbreviation in the workbook.</t>
  </si>
  <si>
    <t xml:space="preserve">Audit data</t>
  </si>
  <si>
    <t xml:space="preserve">Embedded operands every live verdict formula references, with provenance.</t>
  </si>
  <si>
    <t xml:space="preserve">Fractional Forge Design Dossier — water-treatment-example</t>
  </si>
  <si>
    <t xml:space="preserve">↑ Contents</t>
  </si>
  <si>
    <t xml:space="preserve">Live Excel review surface. Yellow cells are editable inputs; green cells are live formulas that recompute downstream. See the '⚠ Checks' tab for invariants that go RED where the engine's numbers do not reconcile.</t>
  </si>
  <si>
    <t xml:space="preserve">Run provenance</t>
  </si>
  <si>
    <t xml:space="preserve">Run directory</t>
  </si>
  <si>
    <t xml:space="preserve">water-treatment-example</t>
  </si>
  <si>
    <t xml:space="preserve">Git short SHA</t>
  </si>
  <si>
    <t xml:space="preserve">7099fa8c7</t>
  </si>
  <si>
    <t xml:space="preserve">State saved at</t>
  </si>
  <si>
    <t xml:space="preserve">2026-07-04T04:18:38.909Z</t>
  </si>
  <si>
    <t xml:space="preserve">Project id</t>
  </si>
  <si>
    <t xml:space="preserve">chain-v2-1783138718909</t>
  </si>
  <si>
    <t xml:space="preserve">Product class</t>
  </si>
  <si>
    <t xml:space="preserve">water_treatment</t>
  </si>
  <si>
    <t xml:space="preserve">Quality scorecard</t>
  </si>
  <si>
    <t xml:space="preserve">No quality-scorecard found.</t>
  </si>
  <si>
    <t xml:space="preserve">Computational checks</t>
  </si>
  <si>
    <t xml:space="preserve">Deterministic invariants</t>
  </si>
  <si>
    <t xml:space="preserve">full detail on the ⚠ Checks tab</t>
  </si>
  <si>
    <t xml:space="preserve">Headline metrics</t>
  </si>
  <si>
    <t xml:space="preserve">Metric</t>
  </si>
  <si>
    <t xml:space="preserve">Value</t>
  </si>
  <si>
    <t xml:space="preserve">Notes / source</t>
  </si>
  <si>
    <t xml:space="preserve">Irrigation Demand delivered</t>
  </si>
  <si>
    <t xml:space="preserve">m³/h</t>
  </si>
  <si>
    <t xml:space="preserve">the plant's boundary deliverable (derived from contract quantity 'irrigation_demand_m3_h'); the brief's '6,000 Cultivation Containers Count' is the served-asset demand it MEETS — shown as context</t>
  </si>
  <si>
    <t xml:space="preserve">Unit cost ceiling</t>
  </si>
  <si>
    <t xml:space="preserve">1,400,000</t>
  </si>
  <si>
    <t xml:space="preserve">GBP</t>
  </si>
  <si>
    <t xml:space="preserve">Brief cost ceiling per unit.</t>
  </si>
  <si>
    <t xml:space="preserve">Water Storage Capacity</t>
  </si>
  <si>
    <t xml:space="preserve">120</t>
  </si>
  <si>
    <t xml:space="preserve">Brief target metric (scale).</t>
  </si>
  <si>
    <t xml:space="preserve">Actuated Valves Count</t>
  </si>
  <si>
    <t xml:space="preserve">200</t>
  </si>
  <si>
    <t xml:space="preserve">Irrigation Demand M3 Per</t>
  </si>
  <si>
    <t xml:space="preserve">45</t>
  </si>
  <si>
    <t xml:space="preserve">Brief target metric (performance).</t>
  </si>
  <si>
    <t xml:space="preserve">Ro Permeate Capacity M3 Per</t>
  </si>
  <si>
    <t xml:space="preserve">8</t>
  </si>
  <si>
    <t xml:space="preserve">Hand Watering Capacity M3 Per</t>
  </si>
  <si>
    <t xml:space="preserve">25</t>
  </si>
  <si>
    <t xml:space="preserve">Deterministic roll-up of every bill-of-materials line, grouped by equipment category. Sums to the bill-of-materials grand total.</t>
  </si>
  <si>
    <t xml:space="preserve">Category</t>
  </si>
  <si>
    <t xml:space="preserve">Cost (£)</t>
  </si>
  <si>
    <t xml:space="preserve">% of capex</t>
  </si>
  <si>
    <t xml:space="preserve">Share</t>
  </si>
  <si>
    <t xml:space="preserve">Enclosure</t>
  </si>
  <si>
    <t xml:space="preserve">▏</t>
  </si>
  <si>
    <t xml:space="preserve">Structure &amp; skids</t>
  </si>
  <si>
    <t xml:space="preserve">Cabling &amp; power runs</t>
  </si>
  <si>
    <t xml:space="preserve">Total (bill of materials)</t>
  </si>
  <si>
    <t xml:space="preserve">Renders — photoreal views of the plant</t>
  </si>
  <si>
    <t xml:space="preserve">The informative views from the Blender scene build: interior hero isometric, annotated interior plan, and the building exterior. Every rendered view file (including the additional corner angles) is listed with its caption on the Drawings register tab; the full-resolution files live in the run folder.</t>
  </si>
  <si>
    <t xml:space="preserve">Render 1 — Interior iso</t>
  </si>
  <si>
    <t xml:space="preserve">Interior render — three-quarter hero perspective · plant envelope 22.1 × 24.4 × 4.5 m · principal equipment: TK-106 Drain Water Tank · TK-107 Drain Water Tank · TK-108 Fresh Water Tank · Z-101 Reverse Osmosis Skid · Z-102 Uf Module Bank</t>
  </si>
  <si>
    <t xml:space="preserve">Render 2 — Interior plan</t>
  </si>
  <si>
    <t xml:space="preserve">Interior render — plan view, looking down · plant envelope 22.1 × 24.4 × 4.5 m · principal equipment: TK-106 Drain Water Tank · TK-107 Drain Water Tank · TK-108 Fresh Water Tank · Z-101 Reverse Osmosis Skid · Z-102 Uf Module Bank</t>
  </si>
  <si>
    <t xml:space="preserve">Render 5 — Exterior iso</t>
  </si>
  <si>
    <t xml:space="preserve">Exterior render — three-quarter hero perspective · plant envelope 22.1 × 24.4 × 4.5 m · building shell + site apron (equipment enclosed)</t>
  </si>
  <si>
    <t xml:space="preserve">Render 7 — Exterior FR iso</t>
  </si>
  <si>
    <t xml:space="preserve">Exterior render — front-right corner perspective · plant envelope 22.1 × 24.4 × 4.5 m · building shell + site apron (equipment enclosed)</t>
  </si>
  <si>
    <t xml:space="preserve">Cost waterfall — BoM → installed ASP</t>
  </si>
  <si>
    <t xml:space="preserve">Running build-up. Yellow = editable step £; the Running total column is LIVE (each = previous running + this step), so Σ bars = total by construction and editing any step recomputes the installed price. The assembly (B6) and installation (B9) bars are ENGINEERING ESTIMATES derived from the bill's own class subtotals × Lang/Hand-style install factors (derivation table below, sources per line) — never bare numbers. 'costStack anchor' shows the engine's stored figure at each milestone so any divergence is visible.</t>
  </si>
  <si>
    <t xml:space="preserve">Step</t>
  </si>
  <si>
    <t xml:space="preserve">Step £ (editable)</t>
  </si>
  <si>
    <t xml:space="preserve">Running total £ (live)</t>
  </si>
  <si>
    <t xml:space="preserve">Basis / derivation (costStack anchor for cross-check)</t>
  </si>
  <si>
    <t xml:space="preserve">Raw materials (BoM)</t>
  </si>
  <si>
    <t xml:space="preserve">​= Σ Bill of Materials (Ledger) line £ — LIVE link to the bill; edit the bill and this recomputes  ·  engine anchor £808,885</t>
  </si>
  <si>
    <t xml:space="preserve">​+ Assembly / erection labour</t>
  </si>
  <si>
    <t xml:space="preserve">ESTIMATE — Σ BoM class subtotals × assembly-&amp;-integration factor: Vessels &amp; tanks 0.10 · Piping &amp; fittings 0.08 · Rotating machinery 0.15 · Electrical &amp; power 0.20 · Instruments, valves &amp; controls 0.10 · Structural &amp; civil 0.05 · Other equipment 0.10 (LIVE from the derivation table below; Lang/Hand-style factors, sources per line). Engine assembly_labour_gbp kept as anchor  ·  engine anchor £323,554</t>
  </si>
  <si>
    <t xml:space="preserve">​= Factory COGS</t>
  </si>
  <si>
    <t xml:space="preserve">factory_cogs_gbp (anchor — compare running total)  ·  engine anchor £1,132,439</t>
  </si>
  <si>
    <t xml:space="preserve">​= OEM transfer price</t>
  </si>
  <si>
    <t xml:space="preserve">oem_transfer_price_gbp (anchor)  ·  engine anchor £1,132,439</t>
  </si>
  <si>
    <t xml:space="preserve">​+ Installation / field erection</t>
  </si>
  <si>
    <t xml:space="preserve">ESTIMATE — Σ BoM class subtotals × install factor: Vessels &amp; tanks 0.45 · Piping &amp; fittings 0.60 · Rotating machinery 0.30 · Electrical &amp; power 0.35 · Instruments, valves &amp; controls 0.40 · Structural &amp; civil 0.50 · Other equipment 0.30 (LIVE from the derivation table below; Lang/Hand-style factors, sources per line). Engine installation_cost_gbp kept as anchor  ·  engine anchor £242,666</t>
  </si>
  <si>
    <t xml:space="preserve">​= Installed ASP (process equipment)</t>
  </si>
  <si>
    <t xml:space="preserve">installed_asp_gbp (anchor — process plant installed price)  ·  engine anchor £1,375,105</t>
  </si>
  <si>
    <t xml:space="preserve">B6 / B9 derivation — BoM class subtotals × Lang/Hand-style factors (Lang 1948 · Hand 1958 · Peters/Timmerhaus/West 5e Tbl 6-5 · Towler &amp; Sinnott)</t>
  </si>
  <si>
    <t xml:space="preserve">Equipment class</t>
  </si>
  <si>
    <t xml:space="preserve">BoM subtotal £</t>
  </si>
  <si>
    <t xml:space="preserve">Lines / mass</t>
  </si>
  <si>
    <t xml:space="preserve">Factor source (assembly + install)</t>
  </si>
  <si>
    <t xml:space="preserve">Assembly f</t>
  </si>
  <si>
    <t xml:space="preserve">Assembly £ (live)</t>
  </si>
  <si>
    <t xml:space="preserve">Install f</t>
  </si>
  <si>
    <t xml:space="preserve">Install £ (live)</t>
  </si>
  <si>
    <t xml:space="preserve">Vessels &amp; tanks</t>
  </si>
  <si>
    <t xml:space="preserve">8 line(s) · 3,448 kg</t>
  </si>
  <si>
    <t xml:space="preserve">vessel/tank setting + field erection ≈ 40–50% of purchased (P,T&amp;W 5e Tbl 6-5 install 25–55%; Hand 1958 vessel family)</t>
  </si>
  <si>
    <t xml:space="preserve">Piping &amp; fittings</t>
  </si>
  <si>
    <t xml:space="preserve">52 line(s)</t>
  </si>
  <si>
    <t xml:space="preserve">pipework erection is the labour-dominant field trade ≈ 50–70% of material (Towler &amp; Sinnott piping factor; P,T&amp;W 5e)</t>
  </si>
  <si>
    <t xml:space="preserve">Rotating machinery</t>
  </si>
  <si>
    <t xml:space="preserve">9 line(s)</t>
  </si>
  <si>
    <t xml:space="preserve">machine setting, alignment + commissioning ≈ 25–60% of purchased, mid 30% (P,T&amp;W 5e Tbl 6-5; Hand 1958 pump family)</t>
  </si>
  <si>
    <t xml:space="preserve">Electrical &amp; power</t>
  </si>
  <si>
    <t xml:space="preserve">48 line(s)</t>
  </si>
  <si>
    <t xml:space="preserve">panel wiring/integration ~20%; field electrical (containment, pulling, termination, test) ≈ 15–40% (P,T&amp;W 5e; Towler &amp; Sinnott f_el)</t>
  </si>
  <si>
    <t xml:space="preserve">Instruments, valves &amp; controls</t>
  </si>
  <si>
    <t xml:space="preserve">29 line(s)</t>
  </si>
  <si>
    <t xml:space="preserve">instrument mounting, hook-up, loop check + calibration ≈ 30–50% (Towler &amp; Sinnott f_i; ISA installation norms)</t>
  </si>
  <si>
    <t xml:space="preserve">Structural &amp; civil</t>
  </si>
  <si>
    <t xml:space="preserve">6 line(s)</t>
  </si>
  <si>
    <t xml:space="preserve">steelwork trial-fit ~5%; site erection ≈ 50% of fabricated-steel cost (UK structural-erection norms; P,T&amp;W civil factors)</t>
  </si>
  <si>
    <t xml:space="preserve">38 line(s)</t>
  </si>
  <si>
    <t xml:space="preserve">ASSUMPTION — no class signal on these lines; generic process-equipment install 30% (P,T&amp;W 5e 25–55% band, low end) + 10% assembly</t>
  </si>
  <si>
    <t xml:space="preserve">Σ — feeds the ladder: B6 = ΣF, B9 = ΣH (live)</t>
  </si>
  <si>
    <t xml:space="preserve">Reconciliation: Σ bars = the ladder's running total by construction (col C is live off col B; B6/B9 are live off this table). The engine's costStack anchors (assembly £323,554 · install £242,666 — blanket class factors) are shown per bar for cross-check; a divergence between the class-derived estimate and the blanket anchor is DISCLOSED, never hidden.</t>
  </si>
  <si>
    <t xml:space="preserve">Financial model — cost of service first · speculative model in the appendix</t>
  </si>
  <si>
    <t xml:space="preserve">THE VALID FRAME LEADS: this plant is a cost subsystem, so the tab opens with its lifecycle cost-of-service model (capex + opex + levelised £/unit), every cell live over the yellow 'Inputs &amp; Assumptions' tab. The revenue/EBITDA/NPV/IRR machinery survives only as a clearly-labelled APPENDIX at the bottom — one caveat, stated once. Money £#,##0; margins 0.0%; years 0.0.</t>
  </si>
  <si>
    <t xml:space="preserve">COST-OF-SERVICE MODEL — the lifecycle cost of the delivered service</t>
  </si>
  <si>
    <t xml:space="preserve">Levelised cost of delivered treated water = (capex annualised at CRF 0.117 over 20 yr + annual opex) ÷ annual delivered volume (design flow 90 m³/h × 8760 h × water utilisation 0.25 (Inputs &amp; Assumptions)). Every value cell is a LIVE formula over the yellow Inputs &amp; Assumptions drivers — edit an input and this recomputes.</t>
  </si>
  <si>
    <t xml:space="preserve">Item</t>
  </si>
  <si>
    <t xml:space="preserve">Value (£)</t>
  </si>
  <si>
    <t xml:space="preserve">Basis</t>
  </si>
  <si>
    <t xml:space="preserve">All-in capex</t>
  </si>
  <si>
    <t xml:space="preserve">live from Inputs — installed capex (engine costStack all-in / installed ASP)</t>
  </si>
  <si>
    <t xml:space="preserve">Annualised capex / yr</t>
  </si>
  <si>
    <t xml:space="preserve">capex × CRF (live off the Inputs discount rate + project life; as-built i=10%, n=20 yr)</t>
  </si>
  <si>
    <t xml:space="preserve">Energy / yr</t>
  </si>
  <si>
    <t xml:space="preserve">live from Inputs — connected load × hours × ELECTRICAL load factor × £/kWh (as-built 53 kW × 8,000 h × 65% × £0.15/kWh)</t>
  </si>
  <si>
    <t xml:space="preserve">Maintenance / yr</t>
  </si>
  <si>
    <t xml:space="preserve">live from Inputs — 3% of capex/yr</t>
  </si>
  <si>
    <t xml:space="preserve">Labour + other opex / yr</t>
  </si>
  <si>
    <t xml:space="preserve">live from Inputs — labour £25,000 + other opex £27,502 (the Inputs basis: unmanned/skid plant unless a headcount signal exists)</t>
  </si>
  <si>
    <t xml:space="preserve">TOTAL annual opex / yr</t>
  </si>
  <si>
    <t xml:space="preserve">energy + maintenance + labour + other (sum of the live rows above)</t>
  </si>
  <si>
    <t xml:space="preserve">Annual delivered volume (m³/yr)</t>
  </si>
  <si>
    <t xml:space="preserve">live — design flow (Inputs driver) × 8760 h × water utilisation (Inputs driver); as-built design flow 90 m³/h × 8760 h × water utilisation 0.25 (Inputs &amp; Assumptions). The electrical load factor sizes the energy line above, never this divisor</t>
  </si>
  <si>
    <t xml:space="preserve">LEVELISED COST (£/m³)</t>
  </si>
  <si>
    <t xml:space="preserve">(annualised capex + total opex) ÷ annual delivered volume — live; as-built £1.50/m³ over 197,100 m³/yr</t>
  </si>
  <si>
    <t xml:space="preserve">Sweet spot &amp; brief reconciliation</t>
  </si>
  <si>
    <t xml:space="preserve">Reconciliation verdict — COMPATIBLE — the brief's cost ceiling and output target fit together</t>
  </si>
  <si>
    <t xml:space="preserve">The brief is internally consistent: 360,000 m³/yr fits within the £1.40M ceiling. Recommended operating point: 360,000 m³/yr at £621k (£2/m³/yr). Objective: BALANCED (the best cost/output compromise).</t>
  </si>
  <si>
    <t xml:space="preserve">Primary objective followed: BALANCED — the best cost/output compromise</t>
  </si>
  <si>
    <t xml:space="preserve">Recommended operating point</t>
  </si>
  <si>
    <t xml:space="preserve">Recommended output (m³/yr)</t>
  </si>
  <si>
    <t xml:space="preserve">Recommended capex (£)</t>
  </si>
  <si>
    <t xml:space="preserve">Recommended £/m³/yr</t>
  </si>
  <si>
    <t xml:space="preserve">Recommended scale vs brief (×)</t>
  </si>
  <si>
    <t xml:space="preserve">Within cost ceiling?</t>
  </si>
  <si>
    <t xml:space="preserve">Yes</t>
  </si>
  <si>
    <t xml:space="preserve">Meets hard output floor?</t>
  </si>
  <si>
    <t xml:space="preserve">Cost–output frontier (capacity-scaling law) — £/unit falls with scale (economies of scale)</t>
  </si>
  <si>
    <t xml:space="preserve">Output (m³/yr)</t>
  </si>
  <si>
    <t xml:space="preserve">Capex (£)</t>
  </si>
  <si>
    <t xml:space="preserve">£/m³/yr</t>
  </si>
  <si>
    <t xml:space="preserve">APPENDIX — if the treated water were sold (speculative — not the valid frame for this plant)</t>
  </si>
  <si>
    <t xml:space="preserve">⚠ SPECULATIVE APPENDIX — no per-unit market sale price is derivable for this product class, so every revenue / EBITDA / NPV / IRR figure below is NOT a valid investor model until a real sale price is entered on the 'Inputs &amp; Assumptions' tab. This caveat is stated ONCE and covers the whole appendix. Note the output (count) is a per-unit product spec, not annual throughput — a £/yr P&amp;L frame does not apply.</t>
  </si>
  <si>
    <t xml:space="preserve">Economics — base case (revenue / opex / EBITDA / NPV / IRR)</t>
  </si>
  <si>
    <t xml:space="preserve">Annual profit &amp; loss</t>
  </si>
  <si>
    <t xml:space="preserve">Line</t>
  </si>
  <si>
    <t xml:space="preserve">£ / yr (live)</t>
  </si>
  <si>
    <t xml:space="preserve">Formula</t>
  </si>
  <si>
    <t xml:space="preserve">Annual revenue</t>
  </si>
  <si>
    <t xml:space="preserve">£/yr</t>
  </si>
  <si>
    <t xml:space="preserve">output ×  sale price (£/unit)</t>
  </si>
  <si>
    <t xml:space="preserve">Consumables — dosing chemicals · nutrient / fertiliser stock · filter media &amp; membranes</t>
  </si>
  <si>
    <t xml:space="preserve">output × consumable-intensity ratio × consumables price — the classes are the plant's own (from its process/media BoM + contract lines); price them on the Inputs tab</t>
  </si>
  <si>
    <t xml:space="preserve">Energy cost</t>
  </si>
  <si>
    <t xml:space="preserve">connected load (kW) × hours × load factor × £/kWh</t>
  </si>
  <si>
    <t xml:space="preserve">Labour</t>
  </si>
  <si>
    <t xml:space="preserve">from inputs</t>
  </si>
  <si>
    <t xml:space="preserve">Maintenance</t>
  </si>
  <si>
    <t xml:space="preserve">capex × maint% / 100</t>
  </si>
  <si>
    <t xml:space="preserve">Other opex</t>
  </si>
  <si>
    <t xml:space="preserve">Total opex</t>
  </si>
  <si>
    <t xml:space="preserve">Σ feed + energy + labour + maintenance + other</t>
  </si>
  <si>
    <t xml:space="preserve">EBITDA</t>
  </si>
  <si>
    <t xml:space="preserve">revenue − total opex</t>
  </si>
  <si>
    <t xml:space="preserve">Headline metrics (live)</t>
  </si>
  <si>
    <t xml:space="preserve">EBITDA margin</t>
  </si>
  <si>
    <t xml:space="preserve">EBITDA ÷ revenue</t>
  </si>
  <si>
    <t xml:space="preserve">Simple payback</t>
  </si>
  <si>
    <t xml:space="preserve">yr</t>
  </si>
  <si>
    <t xml:space="preserve">capex ÷ EBITDA (only if EBITDA &gt; 0)</t>
  </si>
  <si>
    <t xml:space="preserve">Discounted cashflow — NPV &amp; IRR (live)</t>
  </si>
  <si>
    <t xml:space="preserve">Year</t>
  </si>
  <si>
    <t xml:space="preserve">Cashflow £ (live)</t>
  </si>
  <si>
    <t xml:space="preserve">Discounted £ (live)</t>
  </si>
  <si>
    <t xml:space="preserve">capex outflow</t>
  </si>
  <si>
    <t xml:space="preserve">EBITDA inflow (within project life)</t>
  </si>
  <si>
    <t xml:space="preserve">NPV</t>
  </si>
  <si>
    <t xml:space="preserve">Σ discounted cashflow (capex at yr 0 + discounted EBITDA)</t>
  </si>
  <si>
    <t xml:space="preserve">IRR</t>
  </si>
  <si>
    <t xml:space="preserve">live =IRR over the year-0..N cashflow row (text n/a when the cashflow never turns positive)</t>
  </si>
  <si>
    <t xml:space="preserve">Opex breakdown (feeds the pie chart)</t>
  </si>
  <si>
    <t xml:space="preserve">Driver</t>
  </si>
  <si>
    <t xml:space="preserve">% of opex (live)</t>
  </si>
  <si>
    <t xml:space="preserve">Consumables — dosing chemicals · nutrient / fertiliser stock</t>
  </si>
  <si>
    <t xml:space="preserve">Energy</t>
  </si>
  <si>
    <t xml:space="preserve">Other</t>
  </si>
  <si>
    <t xml:space="preserve">Revenue</t>
  </si>
  <si>
    <t xml:space="preserve">Scenarios — scale sweep &amp; price sensitivity</t>
  </si>
  <si>
    <t xml:space="preserve">Output sweep (output, count) — capex via the tunable scaling exponent (default linear/modular); payback / NPV / IRR live per row</t>
  </si>
  <si>
    <t xml:space="preserve">Output (count)</t>
  </si>
  <si>
    <t xml:space="preserve">Capex £ (live)</t>
  </si>
  <si>
    <t xml:space="preserve">Revenue £ (live)</t>
  </si>
  <si>
    <t xml:space="preserve">Total opex £ (live)</t>
  </si>
  <si>
    <t xml:space="preserve">EBITDA £ (live)</t>
  </si>
  <si>
    <t xml:space="preserve">Payback yr</t>
  </si>
  <si>
    <t xml:space="preserve">NPV £ (live)</t>
  </si>
  <si>
    <t xml:space="preserve">IRR (live)</t>
  </si>
  <si>
    <t xml:space="preserve">Chart helper — payback capped at 40 yr (text 'n/a' breaks a chart series)</t>
  </si>
  <si>
    <t xml:space="preserve">Payback yr (chart)</t>
  </si>
  <si>
    <t xml:space="preserve">Low / Central / High — sale price ±25%, energy ±25%, capex ±15% (at the base output)</t>
  </si>
  <si>
    <t xml:space="preserve">Driver / metric</t>
  </si>
  <si>
    <t xml:space="preserve">Low</t>
  </si>
  <si>
    <t xml:space="preserve">Central</t>
  </si>
  <si>
    <t xml:space="preserve">High</t>
  </si>
  <si>
    <t xml:space="preserve">Sale price (±25%)</t>
  </si>
  <si>
    <t xml:space="preserve">Energy price (±25%)</t>
  </si>
  <si>
    <t xml:space="preserve">Capex (±15%)</t>
  </si>
  <si>
    <t xml:space="preserve">Payback yr (live)</t>
  </si>
  <si>
    <t xml:space="preserve">What-if sensitivity — one driver at a time (±20%), with the EBITDA swing (tornado magnitude); held at the base output</t>
  </si>
  <si>
    <t xml:space="preserve">Driver (±20%)</t>
  </si>
  <si>
    <t xml:space="preserve">EBITDA @ −20%</t>
  </si>
  <si>
    <t xml:space="preserve">EBITDA @ base</t>
  </si>
  <si>
    <t xml:space="preserve">EBITDA @ +20%</t>
  </si>
  <si>
    <t xml:space="preserve">Swing £ (|+20 − −20|)</t>
  </si>
  <si>
    <t xml:space="preserve">Sale price</t>
  </si>
  <si>
    <t xml:space="preserve">Consumables price (dosing chemicals · nutrient / fertiliser stock · filter media &amp; membranes)</t>
  </si>
  <si>
    <t xml:space="preserve">Consumable intensity ratio</t>
  </si>
  <si>
    <t xml:space="preserve">Energy price</t>
  </si>
  <si>
    <t xml:space="preserve">Capex (→ maintenance)</t>
  </si>
  <si>
    <t xml:space="preserve">Breakeven &amp; combined corners (live)</t>
  </si>
  <si>
    <t xml:space="preserve">Breakeven sale price (£/unit)</t>
  </si>
  <si>
    <t xml:space="preserve">EBITDA = 0 at this price (vs the Inputs price)</t>
  </si>
  <si>
    <t xml:space="preserve">Combined corners → EBITDA £</t>
  </si>
  <si>
    <t xml:space="preserve">Worst</t>
  </si>
  <si>
    <t xml:space="preserve">Base</t>
  </si>
  <si>
    <t xml:space="preserve">Best</t>
  </si>
  <si>
    <t xml:space="preserve">EBITDA (all drivers swung together)</t>
  </si>
  <si>
    <t xml:space="preserve">Investment analysis — the sweet-spot finder</t>
  </si>
  <si>
    <t xml:space="preserve">★ CAPEX → MAX OUTPUT — type a capex budget in the yellow cell; read the biggest plant it buys + its economics (via the tunable scaling exponent)</t>
  </si>
  <si>
    <t xml:space="preserve">Capex budget (EDIT me) £</t>
  </si>
  <si>
    <t xml:space="preserve">→ Max production (count)</t>
  </si>
  <si>
    <t xml:space="preserve">→ Revenue / yr £</t>
  </si>
  <si>
    <t xml:space="preserve">→ Operating cost / yr £ (interp. from sweep)</t>
  </si>
  <si>
    <t xml:space="preserve">→ EBITDA / yr £</t>
  </si>
  <si>
    <t xml:space="preserve">→ Simple payback (yr)</t>
  </si>
  <si>
    <t xml:space="preserve">→ IRR (annuity)</t>
  </si>
  <si>
    <t xml:space="preserve">DEPLOYMENT VERDICT</t>
  </si>
  <si>
    <t xml:space="preserve">NO DEPLOYMENT RECOMMENDED — EBITDA is negative at every scale in the 0.2x–5x sweep at the current inputs (no revenue basis), so there is no point worth deploying capital into. The valid economics for this plant are the cost-of-service model at the top of this tab.</t>
  </si>
  <si>
    <t xml:space="preserve">Sweet-spot thresholds — live over the scale sweep (Scenarios tab)</t>
  </si>
  <si>
    <t xml:space="preserve">What</t>
  </si>
  <si>
    <t xml:space="preserve">Capex £</t>
  </si>
  <si>
    <t xml:space="preserve">How it's found</t>
  </si>
  <si>
    <t xml:space="preserve">Break-even scale (EBITDA ≥ 0)</t>
  </si>
  <si>
    <t xml:space="preserve">first sweep row with EBITDA ≥ 0 (EBITDA rises with scale); 'none in range' when every sweep row is loss-making</t>
  </si>
  <si>
    <t xml:space="preserve">Viability threshold (IRR ≥ discount rate)</t>
  </si>
  <si>
    <t xml:space="preserve">first row whose IRR clears the discount rate — capital just covers its cost</t>
  </si>
  <si>
    <t xml:space="preserve">Investable scale (IRR ≥ hurdle)</t>
  </si>
  <si>
    <t xml:space="preserve">first row whose IRR clears the editable investor hurdle (Inputs tab) — the SWEET SPOT</t>
  </si>
  <si>
    <t xml:space="preserve">NPV-max scale (in range)</t>
  </si>
  <si>
    <t xml:space="preserve">output that maximises NPV across the sweep (trends to the top of the range when economics improve with scale)</t>
  </si>
  <si>
    <t xml:space="preserve">What moves the sweet spot</t>
  </si>
  <si>
    <t xml:space="preserve">The SALE PRICE per output unit is the dominant lever (revenue is linear in it and in output). ENERGY price + connected load set the largest variable-opex line. CAPEX and its six-tenths exponent set the absolute investment and the maintenance line. Flex these on the Inputs tab — every threshold + curve moves live.</t>
  </si>
  <si>
    <t xml:space="preserve">Output count</t>
  </si>
  <si>
    <t xml:space="preserve">Discount-rate line</t>
  </si>
  <si>
    <t xml:space="preserve">Hurdle line</t>
  </si>
  <si>
    <t xml:space="preserve">NPV £</t>
  </si>
  <si>
    <t xml:space="preserve">Payback yr (cap 40)</t>
  </si>
  <si>
    <t xml:space="preserve">THE BILL + its provenance + its engineering, on one sheet — ALL COLUMNS VISIBLE (nothing hidden/collapsed). Buy-list: tag · item · qty · unit £ · LIVE line £. 'Cost basis' (cols F–J) = HOW each £ was derived (method / inputs / factors / estimate class / confidence); 'Engineering spec' (cols K–N) = WHY each principal is this size (duty / material / sizing calc / MPN). Σ line £ is live at the foot; commodity lines leave the spec columns blank (correct — they need no sizing basis). ↳ SUB-COMPONENT ROWS are grouped under their parent principal and open COLLAPSED — the sheet reads as the buy list; expand a parent's + on the left margin to see its children (their £ is apportioned into the parent line). MPN STATUS: engineered TBD 32/70 bought-out lines await detailed design (score penalised by the engineered-TBD fraction — a fully-TBD bill cannot reach 8) · commodity 17/22 small parts carry 'commodity — MPN at procurement' (commodity noun family + unit £ ≤ £100, both required — unpenalised, tallied separately; real practice carries no MPN on class-basis commodity parts at concept stage). ROW CHECK CONTRACT (score = 10 × rows-passing ÷ rows − 4 × engineered-TBD-fraction = 10 × 435/435 − 4 × 0.457 = 8.2): MPN TALLIES: engineered TBD 32/70 (penalised) · commodity 'MPN at procurement' 17/22 (unpenalised, visible; commodity = noun family + unit £ ≤ £100, both required). Tag/Item=required_nonempty · Class fit=computed · Qty=required_nonempty · Unit £ / Line £=computed · Basis=required_nonempty · Material=computed · MPN / datasheet=computed. A dash / empty / unverifiable contracted cell FAILS its row — honest red beats fake green.</t>
  </si>
  <si>
    <t xml:space="preserve">Tag</t>
  </si>
  <si>
    <t xml:space="preserve">Qty</t>
  </si>
  <si>
    <t xml:space="preserve">Unit £</t>
  </si>
  <si>
    <t xml:space="preserve">Line £</t>
  </si>
  <si>
    <t xml:space="preserve">Cost method</t>
  </si>
  <si>
    <t xml:space="preserve">Key inputs</t>
  </si>
  <si>
    <t xml:space="preserve">Factors</t>
  </si>
  <si>
    <t xml:space="preserve">Est class</t>
  </si>
  <si>
    <t xml:space="preserve">Confidence</t>
  </si>
  <si>
    <t xml:space="preserve">Duty / rating</t>
  </si>
  <si>
    <t xml:space="preserve">Material</t>
  </si>
  <si>
    <t xml:space="preserve">Sizing calc (basis)</t>
  </si>
  <si>
    <t xml:space="preserve">MPN / datasheet</t>
  </si>
  <si>
    <t xml:space="preserve">Row check</t>
  </si>
  <si>
    <t xml:space="preserve">Audit: check evidence (build-computed)</t>
  </si>
  <si>
    <t xml:space="preserve">catalogue</t>
  </si>
  <si>
    <t xml:space="preserve">catalogue-class budget (no itemised inputs)</t>
  </si>
  <si>
    <t xml:space="preserve">high</t>
  </si>
  <si>
    <t xml:space="preserve">Electrical Control Panel</t>
  </si>
  <si>
    <t xml:space="preserve">N/A — proprietary assembly / bought-out package, see datasheet</t>
  </si>
  <si>
    <t xml:space="preserve">Rittal 1180.000</t>
  </si>
  <si>
    <t xml:space="preserve">Circuit Breakers</t>
  </si>
  <si>
    <t xml:space="preserve">ABB 1SDA067417R1</t>
  </si>
  <si>
    <t xml:space="preserve">class_reference</t>
  </si>
  <si>
    <t xml:space="preserve">median £183, n=5</t>
  </si>
  <si>
    <t xml:space="preserve">14%; £25→£183; lifted; corpus; parametric</t>
  </si>
  <si>
    <t xml:space="preserve">low</t>
  </si>
  <si>
    <t xml:space="preserve">Motor Starter</t>
  </si>
  <si>
    <t xml:space="preserve">bottom-up parametric · lifted £25→£183 to the engine corpus 0.6×median (median £183, n=5; line was 14% of median — under-priced vs the engine's own forge-truth reference)</t>
  </si>
  <si>
    <t xml:space="preserve">TBD (detailed design)</t>
  </si>
  <si>
    <t xml:space="preserve">llm_estimate</t>
  </si>
  <si>
    <t xml:space="preserve">model estimate (no itemised inputs)</t>
  </si>
  <si>
    <t xml:space="preserve">parametric</t>
  </si>
  <si>
    <t xml:space="preserve">Terminal Blocks</t>
  </si>
  <si>
    <t xml:space="preserve">bottom-up parametric · commodity-floor (estimate £0.11 renders £0; 'terminal' → £2)</t>
  </si>
  <si>
    <t xml:space="preserve">commodity — MPN at procurement</t>
  </si>
  <si>
    <t xml:space="preserve">3 Phase Power Input</t>
  </si>
  <si>
    <t xml:space="preserve">TDK-Lambda DRB240-24-3-A0</t>
  </si>
  <si>
    <t xml:space="preserve">DC Power Cabling</t>
  </si>
  <si>
    <t xml:space="preserve">bottom-up parametric</t>
  </si>
  <si>
    <t xml:space="preserve">60 kVA</t>
  </si>
  <si>
    <t xml:space="preserve">£320/kVA; install; rating-based</t>
  </si>
  <si>
    <t xml:space="preserve">Standby Diesel Generator · 60 kVA · 862x733x948 mm</t>
  </si>
  <si>
    <t xml:space="preserve">rating-based: 60 kVA × £320/kVA (UK-2026 installed mid; band £200-440/kVA) — standby diesel genset @ £/kVA [£44,840 above band → grounded to market]</t>
  </si>
  <si>
    <t xml:space="preserve">Pramac GBW60P</t>
  </si>
  <si>
    <t xml:space="preserve">5 kVA</t>
  </si>
  <si>
    <t xml:space="preserve">£550/kVA; install; rating-based</t>
  </si>
  <si>
    <t xml:space="preserve">moderate</t>
  </si>
  <si>
    <t xml:space="preserve">Control + Instrument UPS · 5 kW (30 min) · 600x510x660 mm</t>
  </si>
  <si>
    <t xml:space="preserve">rating-based: 5 kVA × £550/kVA (UK-2026 installed mid; band £300-950/kVA) — UPS @ £/kVA [£21,500 above band → grounded to market]</t>
  </si>
  <si>
    <t xml:space="preserve">Eaton 9SX5KI</t>
  </si>
  <si>
    <t xml:space="preserve">53 kW</t>
  </si>
  <si>
    <t xml:space="preserve">£50/kW; install; class budget; catalogue</t>
  </si>
  <si>
    <t xml:space="preserve">SCADA / Plant Control System · 53 kW plant</t>
  </si>
  <si>
    <t xml:space="preserve">installed process system — catalogue-class budget: £60k base (redundant PLC racks + SCADA servers + operator HMIs + I/O + plant network + software licences + panel build + commissioning; supply + install) + £50/kW × ~53 kW connected plant load</t>
  </si>
  <si>
    <t xml:space="preserve">Hoogendoorn iSii</t>
  </si>
  <si>
    <t xml:space="preserve">floored; parametric</t>
  </si>
  <si>
    <t xml:space="preserve">Motor Control Center</t>
  </si>
  <si>
    <t xml:space="preserve">bottom-up parametric · floored to min credible price</t>
  </si>
  <si>
    <t xml:space="preserve">median £1,927, n=5</t>
  </si>
  <si>
    <t xml:space="preserve">11%; £218→£1,086; lifted; corpus; parametric</t>
  </si>
  <si>
    <t xml:space="preserve">Vfd Drive</t>
  </si>
  <si>
    <t xml:space="preserve">bottom-up parametric · lifted £218→£1,086 to the engine corpus p25 (median £1,927, n=5; line was 11% of median — under-priced vs the engine's own forge-truth reference)</t>
  </si>
  <si>
    <t xml:space="preserve">class-reference price (no itemised inputs)</t>
  </si>
  <si>
    <t xml:space="preserve">Vfd Controller</t>
  </si>
  <si>
    <t xml:space="preserve">364 m²</t>
  </si>
  <si>
    <t xml:space="preserve">£25/m²; take-off; parametric</t>
  </si>
  <si>
    <t xml:space="preserve">Ro Membrane Elements · 364 m² area</t>
  </si>
  <si>
    <t xml:space="preserve">membrane/filtration media</t>
  </si>
  <si>
    <t xml:space="preserve">membrane-area parametric: 364 m² × £25/m² (spiral-wound/UF module supply, UK-2026; NOT a steel take-off)</t>
  </si>
  <si>
    <t xml:space="preserve">bespoke fabrication to drawing — see sizing basis</t>
  </si>
  <si>
    <t xml:space="preserve">—.1</t>
  </si>
  <si>
    <t xml:space="preserve">↳ Pressure Vessel Shell · 15 m³/h</t>
  </si>
  <si>
    <t xml:space="preserve">incl. in parent</t>
  </si>
  <si>
    <t xml:space="preserve">—</t>
  </si>
  <si>
    <t xml:space="preserve">incl. in parent line</t>
  </si>
  <si>
    <t xml:space="preserve">—.2</t>
  </si>
  <si>
    <t xml:space="preserve">↳ Filter Media / Membrane Elements</t>
  </si>
  <si>
    <t xml:space="preserve">—.3</t>
  </si>
  <si>
    <t xml:space="preserve">↳ Upper Distribution Header</t>
  </si>
  <si>
    <t xml:space="preserve">—.4</t>
  </si>
  <si>
    <t xml:space="preserve">↳ Lower Underdrain / Nozzle Plate</t>
  </si>
  <si>
    <t xml:space="preserve">—.5</t>
  </si>
  <si>
    <t xml:space="preserve">↳ Backwash / Service Valve Nest</t>
  </si>
  <si>
    <t xml:space="preserve">—.6</t>
  </si>
  <si>
    <t xml:space="preserve">↳ Differential-Pressure Gauges</t>
  </si>
  <si>
    <t xml:space="preserve">—.7</t>
  </si>
  <si>
    <t xml:space="preserve">↳ Air Scour / Vent</t>
  </si>
  <si>
    <t xml:space="preserve">—.8</t>
  </si>
  <si>
    <t xml:space="preserve">↳ Sample Cock</t>
  </si>
  <si>
    <t xml:space="preserve">—.9</t>
  </si>
  <si>
    <t xml:space="preserve">↳ Skid Frame &amp; Pipework</t>
  </si>
  <si>
    <t xml:space="preserve">—.10</t>
  </si>
  <si>
    <t xml:space="preserve">↳ Nameplate</t>
  </si>
  <si>
    <t xml:space="preserve">Z-103.1</t>
  </si>
  <si>
    <t xml:space="preserve">Z-103.2</t>
  </si>
  <si>
    <t xml:space="preserve">Z-103.3</t>
  </si>
  <si>
    <t xml:space="preserve">Z-103.4</t>
  </si>
  <si>
    <t xml:space="preserve">Z-103.5</t>
  </si>
  <si>
    <t xml:space="preserve">Z-103.6</t>
  </si>
  <si>
    <t xml:space="preserve">Z-103.7</t>
  </si>
  <si>
    <t xml:space="preserve">Z-103.8</t>
  </si>
  <si>
    <t xml:space="preserve">Z-103.9</t>
  </si>
  <si>
    <t xml:space="preserve">Z-103.10</t>
  </si>
  <si>
    <t xml:space="preserve">Piping Network</t>
  </si>
  <si>
    <t xml:space="preserve">Check Valves</t>
  </si>
  <si>
    <t xml:space="preserve">PVC-U / 304 stainless (WRAS)</t>
  </si>
  <si>
    <t xml:space="preserve">bottom-up parametric · MoC: PVC-U / 304 stainless (WRAS) for potable-water service (WRAS-approved wetted materials)</t>
  </si>
  <si>
    <t xml:space="preserve">Hydraulic Connectors</t>
  </si>
  <si>
    <t xml:space="preserve">median £34,360, n=5</t>
  </si>
  <si>
    <t xml:space="preserve">35%; £12,012→£17,540; lifted; corpus; catalogue</t>
  </si>
  <si>
    <t xml:space="preserve">Uv Disinfection · 4 kW · 600x510x660 mm</t>
  </si>
  <si>
    <t xml:space="preserve">catalogue · MoC: PVC-U / 304 stainless (WRAS) for potable-water service (WRAS-approved wetted materials) · lifted £12,012→£17,540 to the engine corpus p25 (median £34,360, n=5; line was 35% of median — under-priced vs the engine's own forge-truth reference)</t>
  </si>
  <si>
    <t xml:space="preserve">WEDECO (Xylem) Spektron 30e</t>
  </si>
  <si>
    <t xml:space="preserve">V-102.1</t>
  </si>
  <si>
    <t xml:space="preserve">↳ Process Unit</t>
  </si>
  <si>
    <t xml:space="preserve">V-102.2</t>
  </si>
  <si>
    <t xml:space="preserve">↳ Inlet / Outlet Manifolds</t>
  </si>
  <si>
    <t xml:space="preserve">V-102.3</t>
  </si>
  <si>
    <t xml:space="preserve">↳ Flow Control Valve</t>
  </si>
  <si>
    <t xml:space="preserve">V-102.4</t>
  </si>
  <si>
    <t xml:space="preserve">↳ Dosing / Lamp Module</t>
  </si>
  <si>
    <t xml:space="preserve">V-102.5</t>
  </si>
  <si>
    <t xml:space="preserve">↳ Local Sensor</t>
  </si>
  <si>
    <t xml:space="preserve">V-102.6</t>
  </si>
  <si>
    <t xml:space="preserve">↳ Control &amp; Power Module</t>
  </si>
  <si>
    <t xml:space="preserve">V-102.7</t>
  </si>
  <si>
    <t xml:space="preserve">↳ Mounting Frame</t>
  </si>
  <si>
    <t xml:space="preserve">5 mm; 1.3 m; 13 kPa; 120 MPa; 6 m²; 259 kg; median £12,581</t>
  </si>
  <si>
    <t xml:space="preserve">×1.3; × 259; £4.5/kg; × 1.25; 28%; £3,548→£8,000; lifted;</t>
  </si>
  <si>
    <t xml:space="preserve">Softener Vessel · 1.2 m dia x 1.3 m</t>
  </si>
  <si>
    <t xml:space="preserve">carbon steel</t>
  </si>
  <si>
    <t xml:space="preserve">tapered wall 5 mm = P·r/(σ·E)+c · ⌀1.2×1.3 m (open top (no head)) · P=13 kPa head · σ=120 MPa → 6 m² × 259 kg carbon steel @ £4.5/kg supply × 1.25 erection + fittings · named part Pentair Structural '36X72 COMP 6"TF 6"BF' rejected: Engine B priced it £840 via its small-parts commodity curve — no catalogue class exists for a bespoke fabricated tank/vessel shell; a materials take-off is used instead · lifted £3,548→£8,000 to the engine corpus p25 (median £12,581, n=5; line was 28% of median — under-priced vs the engine's own forge-truth reference)</t>
  </si>
  <si>
    <t xml:space="preserve">Pentair Structural 36X72 COMP 6"TF 6"BF</t>
  </si>
  <si>
    <t xml:space="preserve">V-106.1</t>
  </si>
  <si>
    <t xml:space="preserve">↳ Shell Course</t>
  </si>
  <si>
    <t xml:space="preserve">V-106.2</t>
  </si>
  <si>
    <t xml:space="preserve">↳ Top Head / Roof</t>
  </si>
  <si>
    <t xml:space="preserve">V-106.3</t>
  </si>
  <si>
    <t xml:space="preserve">↳ Base / Floor Plate</t>
  </si>
  <si>
    <t xml:space="preserve">V-106.4</t>
  </si>
  <si>
    <t xml:space="preserve">↳ Support Skirt / Legs</t>
  </si>
  <si>
    <t xml:space="preserve">V-106.5</t>
  </si>
  <si>
    <t xml:space="preserve">↳ Manway &amp; Cover</t>
  </si>
  <si>
    <t xml:space="preserve">V-106.6</t>
  </si>
  <si>
    <t xml:space="preserve">↳ Inlet Nozzle Set</t>
  </si>
  <si>
    <t xml:space="preserve">V-106.7</t>
  </si>
  <si>
    <t xml:space="preserve">↳ Outlet Nozzle Set</t>
  </si>
  <si>
    <t xml:space="preserve">V-106.8</t>
  </si>
  <si>
    <t xml:space="preserve">↳ Drain Nozzle</t>
  </si>
  <si>
    <t xml:space="preserve">V-106.9</t>
  </si>
  <si>
    <t xml:space="preserve">↳ Overflow / Weir</t>
  </si>
  <si>
    <t xml:space="preserve">V-106.10</t>
  </si>
  <si>
    <t xml:space="preserve">↳ Internal Distribution</t>
  </si>
  <si>
    <t xml:space="preserve">V-106.11</t>
  </si>
  <si>
    <t xml:space="preserve">↳ Tank Vent / Pressure Relief</t>
  </si>
  <si>
    <t xml:space="preserve">V-106.12</t>
  </si>
  <si>
    <t xml:space="preserve">↳ Access Ladder &amp; Platform</t>
  </si>
  <si>
    <t xml:space="preserve">V-106.13</t>
  </si>
  <si>
    <t xml:space="preserve">↳ Internal Lining / Coating</t>
  </si>
  <si>
    <t xml:space="preserve">V-106.14</t>
  </si>
  <si>
    <t xml:space="preserve">↳ Earthing Boss</t>
  </si>
  <si>
    <t xml:space="preserve">V-106.15</t>
  </si>
  <si>
    <t xml:space="preserve">Fertigation Dosing Pump · 8 kW · 600x510x660 mm</t>
  </si>
  <si>
    <t xml:space="preserve">catalogue · MoC: PVC-U / 304 stainless (WRAS) for potable-water service (WRAS-approved wetted materials)</t>
  </si>
  <si>
    <t xml:space="preserve">Grundfos 96122012</t>
  </si>
  <si>
    <t xml:space="preserve">P-106.1</t>
  </si>
  <si>
    <t xml:space="preserve">↳ Casing</t>
  </si>
  <si>
    <t xml:space="preserve">P-106.2</t>
  </si>
  <si>
    <t xml:space="preserve">↳ Impeller / Rotor</t>
  </si>
  <si>
    <t xml:space="preserve">P-106.3</t>
  </si>
  <si>
    <t xml:space="preserve">↳ Drive Motor · 7.5 kW</t>
  </si>
  <si>
    <t xml:space="preserve">P-106.4</t>
  </si>
  <si>
    <t xml:space="preserve">↳ Variable-Speed Drive · 7.5 kW</t>
  </si>
  <si>
    <t xml:space="preserve">catalogue; parametric</t>
  </si>
  <si>
    <t xml:space="preserve">P-106.5</t>
  </si>
  <si>
    <t xml:space="preserve">↳ Flexible Coupling</t>
  </si>
  <si>
    <t xml:space="preserve">P-106.6</t>
  </si>
  <si>
    <t xml:space="preserve">↳ Coupling Guard</t>
  </si>
  <si>
    <t xml:space="preserve">P-106.7</t>
  </si>
  <si>
    <t xml:space="preserve">↳ Baseplate</t>
  </si>
  <si>
    <t xml:space="preserve">P-106.8</t>
  </si>
  <si>
    <t xml:space="preserve">↳ Mechanical Seal</t>
  </si>
  <si>
    <t xml:space="preserve">P-106.9</t>
  </si>
  <si>
    <t xml:space="preserve">↳ Suction Isolation Valve</t>
  </si>
  <si>
    <t xml:space="preserve">P-106.10</t>
  </si>
  <si>
    <t xml:space="preserve">↳ Discharge Isolation Valve</t>
  </si>
  <si>
    <t xml:space="preserve">P-106.11</t>
  </si>
  <si>
    <t xml:space="preserve">↳ Non-Return Valve</t>
  </si>
  <si>
    <t xml:space="preserve">P-106.12</t>
  </si>
  <si>
    <t xml:space="preserve">↳ Discharge Pressure Gauge</t>
  </si>
  <si>
    <t xml:space="preserve">P-106.13</t>
  </si>
  <si>
    <t xml:space="preserve">↳ Anti-Vibration Mounts</t>
  </si>
  <si>
    <t xml:space="preserve">6 mm; 1.1 m; 11 kPa; 18 MPa; 5 m²; 58 kg</t>
  </si>
  <si>
    <t xml:space="preserve">×1.1; × 58; £12.0/kg; × 1.25</t>
  </si>
  <si>
    <t xml:space="preserve">Nutrient Tank · 1.1 m dia x 1.1 m</t>
  </si>
  <si>
    <t xml:space="preserve">FRP/GRP</t>
  </si>
  <si>
    <t xml:space="preserve">tapered wall 6 mm = P·r/(σ·E)+c · ⌀1.1×1.1 m (open top (no head)) · P=11 kPa head · σ=18 MPa → 5 m² × 58 kg FRP/GRP @ £12.0/kg supply × 1.25 erection + fittings</t>
  </si>
  <si>
    <t xml:space="preserve">TK-103.1</t>
  </si>
  <si>
    <t xml:space="preserve">↳ Tank Wall (laminate)</t>
  </si>
  <si>
    <t xml:space="preserve">TK-103.2</t>
  </si>
  <si>
    <t xml:space="preserve">↳ Tank Floor (graded to centre)</t>
  </si>
  <si>
    <t xml:space="preserve">TK-103.3</t>
  </si>
  <si>
    <t xml:space="preserve">↳ Dual Drain / Centre Standpipe</t>
  </si>
  <si>
    <t xml:space="preserve">TK-103.4</t>
  </si>
  <si>
    <t xml:space="preserve">↳ Side Drain &amp; Overflow</t>
  </si>
  <si>
    <t xml:space="preserve">TK-103.5</t>
  </si>
  <si>
    <t xml:space="preserve">↳ Inlet Distribution Ring</t>
  </si>
  <si>
    <t xml:space="preserve">TK-103.6</t>
  </si>
  <si>
    <t xml:space="preserve">↳ Internal Flow Baffles</t>
  </si>
  <si>
    <t xml:space="preserve">TK-103.7</t>
  </si>
  <si>
    <t xml:space="preserve">↳ Rim Stiffener</t>
  </si>
  <si>
    <t xml:space="preserve">TK-103.8</t>
  </si>
  <si>
    <t xml:space="preserve">↳ Access Walkway &amp; Handrail</t>
  </si>
  <si>
    <t xml:space="preserve">TK-103.9</t>
  </si>
  <si>
    <t xml:space="preserve">↳ Internal Gelcoat / Lining</t>
  </si>
  <si>
    <t xml:space="preserve">TK-103.10</t>
  </si>
  <si>
    <t xml:space="preserve">TK-103.11</t>
  </si>
  <si>
    <t xml:space="preserve">3 kW</t>
  </si>
  <si>
    <t xml:space="preserve">£700/kW; install; rating-based</t>
  </si>
  <si>
    <t xml:space="preserve">Hand Watering Pump · 25 m³/h · 900x500x700 mm</t>
  </si>
  <si>
    <t xml:space="preserve">rating-based: 3 kW × £700/kW (UK-2026 installed mid; band £350-1300/kW) — process pump (skid: casing+motor+VSD) @ £/kW [£7,796 above band → grounded to market] · motor kW from contract hand_watering_pump_motor_kw (the line's own rating is a flow, not a power) · MoC: PVC-U / 304 stainless (WRAS) for potable-water service (WRAS-approved wetted materials)</t>
  </si>
  <si>
    <t xml:space="preserve">Grundfos 96935501</t>
  </si>
  <si>
    <t xml:space="preserve">P-102.1</t>
  </si>
  <si>
    <t xml:space="preserve">P-102.2</t>
  </si>
  <si>
    <t xml:space="preserve">P-102.3</t>
  </si>
  <si>
    <t xml:space="preserve">↳ Drive Motor · 3 kW</t>
  </si>
  <si>
    <t xml:space="preserve">P-102.4</t>
  </si>
  <si>
    <t xml:space="preserve">↳ Variable-Speed Drive · 3 kW</t>
  </si>
  <si>
    <t xml:space="preserve">P-102.5</t>
  </si>
  <si>
    <t xml:space="preserve">P-102.6</t>
  </si>
  <si>
    <t xml:space="preserve">P-102.7</t>
  </si>
  <si>
    <t xml:space="preserve">P-102.8</t>
  </si>
  <si>
    <t xml:space="preserve">P-102.9</t>
  </si>
  <si>
    <t xml:space="preserve">P-102.10</t>
  </si>
  <si>
    <t xml:space="preserve">P-102.11</t>
  </si>
  <si>
    <t xml:space="preserve">P-102.12</t>
  </si>
  <si>
    <t xml:space="preserve">P-102.13</t>
  </si>
  <si>
    <t xml:space="preserve">6 mm; 1.4 m; 14 kPa; 18 MPa; 13 m²; 160 kg</t>
  </si>
  <si>
    <t xml:space="preserve">×1.4; × 160; £12.0/kg; × 1.25</t>
  </si>
  <si>
    <t xml:space="preserve">Drain Collection Sump · 2.1 m dia x 1.4 m</t>
  </si>
  <si>
    <t xml:space="preserve">tapered wall 6 mm = P·r/(σ·E)+c · ⌀2.1×1.4 m (open top (no head)) · P=14 kPa head · σ=18 MPa → 13 m² × 160 kg FRP/GRP @ £12.0/kg supply × 1.25 erection + fittings</t>
  </si>
  <si>
    <t xml:space="preserve">TK-114.1</t>
  </si>
  <si>
    <t xml:space="preserve">TK-114.2</t>
  </si>
  <si>
    <t xml:space="preserve">TK-114.3</t>
  </si>
  <si>
    <t xml:space="preserve">TK-114.4</t>
  </si>
  <si>
    <t xml:space="preserve">TK-114.5</t>
  </si>
  <si>
    <t xml:space="preserve">TK-114.6</t>
  </si>
  <si>
    <t xml:space="preserve">TK-114.7</t>
  </si>
  <si>
    <t xml:space="preserve">TK-114.8</t>
  </si>
  <si>
    <t xml:space="preserve">TK-114.9</t>
  </si>
  <si>
    <t xml:space="preserve">TK-114.10</t>
  </si>
  <si>
    <t xml:space="preserve">TK-114.11</t>
  </si>
  <si>
    <t xml:space="preserve">2kw</t>
  </si>
  <si>
    <t xml:space="preserve">Drain Transfer Pump · 2 kW · 600x510x660 mm</t>
  </si>
  <si>
    <t xml:space="preserve">real DB median of 1 comparable 2kw 'pump' parts (forge-truth.db) · MoC: PVC-U / 304 stainless (WRAS) for potable-water service (WRAS-approved wetted materials)</t>
  </si>
  <si>
    <t xml:space="preserve">P-104.1</t>
  </si>
  <si>
    <t xml:space="preserve">P-104.2</t>
  </si>
  <si>
    <t xml:space="preserve">P-104.3</t>
  </si>
  <si>
    <t xml:space="preserve">↳ Drive Motor · 2.2 kW</t>
  </si>
  <si>
    <t xml:space="preserve">P-104.4</t>
  </si>
  <si>
    <t xml:space="preserve">↳ Variable-Speed Drive · 2.2 kW</t>
  </si>
  <si>
    <t xml:space="preserve">P-104.5</t>
  </si>
  <si>
    <t xml:space="preserve">P-104.6</t>
  </si>
  <si>
    <t xml:space="preserve">P-104.7</t>
  </si>
  <si>
    <t xml:space="preserve">P-104.8</t>
  </si>
  <si>
    <t xml:space="preserve">P-104.9</t>
  </si>
  <si>
    <t xml:space="preserve">P-104.10</t>
  </si>
  <si>
    <t xml:space="preserve">P-104.11</t>
  </si>
  <si>
    <t xml:space="preserve">P-104.12</t>
  </si>
  <si>
    <t xml:space="preserve">P-104.13</t>
  </si>
  <si>
    <t xml:space="preserve">3 m²; 0 bar</t>
  </si>
  <si>
    <t xml:space="preserve">£90/m²; take-off</t>
  </si>
  <si>
    <t xml:space="preserve">Cloth Filter · 80 m³/h · 3 m² area</t>
  </si>
  <si>
    <t xml:space="preserve">structural steel</t>
  </si>
  <si>
    <t xml:space="preserve">structural steelwork take-off: 3 m² plan × £90/m² (UK-2026 fabricated + erected; service=structural, dry, 0 bar — NOT a pressure shell) + £8k connections</t>
  </si>
  <si>
    <t xml:space="preserve">V-103.1</t>
  </si>
  <si>
    <t xml:space="preserve">↳ Drum / Element · 80 m³/h</t>
  </si>
  <si>
    <t xml:space="preserve">V-103.2</t>
  </si>
  <si>
    <t xml:space="preserve">↳ Media / Mesh Panels</t>
  </si>
  <si>
    <t xml:space="preserve">V-103.3</t>
  </si>
  <si>
    <t xml:space="preserve">↳ Drive Gearmotor · 1 kW</t>
  </si>
  <si>
    <t xml:space="preserve">V-103.4</t>
  </si>
  <si>
    <t xml:space="preserve">↳ Backwash Spray Bar</t>
  </si>
  <si>
    <t xml:space="preserve">V-103.5</t>
  </si>
  <si>
    <t xml:space="preserve">↳ Backwash Pump</t>
  </si>
  <si>
    <t xml:space="preserve">V-103.6</t>
  </si>
  <si>
    <t xml:space="preserve">↳ Reject Trough</t>
  </si>
  <si>
    <t xml:space="preserve">V-103.7</t>
  </si>
  <si>
    <t xml:space="preserve">↳ Differential-Pressure Switch</t>
  </si>
  <si>
    <t xml:space="preserve">V-103.8</t>
  </si>
  <si>
    <t xml:space="preserve">↳ Support Frame</t>
  </si>
  <si>
    <t xml:space="preserve">V-103.9</t>
  </si>
  <si>
    <t xml:space="preserve">↳ Local Control Panel</t>
  </si>
  <si>
    <t xml:space="preserve">Gac Softener · 15 m³/h · 0.9 m dia x 1.8 m</t>
  </si>
  <si>
    <t xml:space="preserve">V-105.1</t>
  </si>
  <si>
    <t xml:space="preserve">V-105.2</t>
  </si>
  <si>
    <t xml:space="preserve">V-105.3</t>
  </si>
  <si>
    <t xml:space="preserve">V-105.4</t>
  </si>
  <si>
    <t xml:space="preserve">V-105.5</t>
  </si>
  <si>
    <t xml:space="preserve">V-105.6</t>
  </si>
  <si>
    <t xml:space="preserve">V-105.7</t>
  </si>
  <si>
    <t xml:space="preserve">V-105.8</t>
  </si>
  <si>
    <t xml:space="preserve">V-105.9</t>
  </si>
  <si>
    <t xml:space="preserve">V-105.10</t>
  </si>
  <si>
    <t xml:space="preserve">45 m³</t>
  </si>
  <si>
    <t xml:space="preserve">× 2; catalogue</t>
  </si>
  <si>
    <t xml:space="preserve">Irrigation Pump · 90 m³/h · 1379x766x1073 mm</t>
  </si>
  <si>
    <t xml:space="preserve">catalogue · MoC: PVC-U / 304 stainless (WRAS) for potable-water service (WRAS-approved wetted materials) · demand-sized: peak irrigation demand = 45 m³/h per department × 2 departments</t>
  </si>
  <si>
    <t xml:space="preserve">Grundfos 96539165</t>
  </si>
  <si>
    <t xml:space="preserve">P-103.1</t>
  </si>
  <si>
    <t xml:space="preserve">P-103.2</t>
  </si>
  <si>
    <t xml:space="preserve">P-103.3</t>
  </si>
  <si>
    <t xml:space="preserve">↳ Drive Motor · 11 kW</t>
  </si>
  <si>
    <t xml:space="preserve">P-103.4</t>
  </si>
  <si>
    <t xml:space="preserve">↳ Variable-Speed Drive · 11 kW</t>
  </si>
  <si>
    <t xml:space="preserve">P-103.5</t>
  </si>
  <si>
    <t xml:space="preserve">P-103.6</t>
  </si>
  <si>
    <t xml:space="preserve">P-103.7</t>
  </si>
  <si>
    <t xml:space="preserve">P-103.8</t>
  </si>
  <si>
    <t xml:space="preserve">P-103.9</t>
  </si>
  <si>
    <t xml:space="preserve">P-103.10</t>
  </si>
  <si>
    <t xml:space="preserve">P-103.11</t>
  </si>
  <si>
    <t xml:space="preserve">P-103.12</t>
  </si>
  <si>
    <t xml:space="preserve">P-103.13</t>
  </si>
  <si>
    <t xml:space="preserve">Distribution Manifold · 45 m³/h · 700x595x770 mm</t>
  </si>
  <si>
    <t xml:space="preserve">distribution-manifold parametric: 45 m³/h delivery duty × £25/(m³·h) + £600 base — fabricated header + isolation/non-return valves + gauge tappings + supports (supply-only materials; field labour in the cost stack) · MoC: PVC-U / 304 stainless (WRAS) for potable-water service (WRAS-approved wetted materials)</t>
  </si>
  <si>
    <t xml:space="preserve">8 m²; 0 bar</t>
  </si>
  <si>
    <t xml:space="preserve">Reverse Osmosis Skid · 2.3 m dia x 2.4 m</t>
  </si>
  <si>
    <t xml:space="preserve">structural steelwork take-off: 8 m² plan × £90/m² (UK-2026 fabricated + erected; service=structural, dry, 0 bar — NOT a pressure shell) + £8k connections</t>
  </si>
  <si>
    <t xml:space="preserve">Z-101.1</t>
  </si>
  <si>
    <t xml:space="preserve">Z-101.2</t>
  </si>
  <si>
    <t xml:space="preserve">Z-101.3</t>
  </si>
  <si>
    <t xml:space="preserve">Z-101.4</t>
  </si>
  <si>
    <t xml:space="preserve">Z-101.5</t>
  </si>
  <si>
    <t xml:space="preserve">Z-101.6</t>
  </si>
  <si>
    <t xml:space="preserve">Z-101.7</t>
  </si>
  <si>
    <t xml:space="preserve">Z-101.8</t>
  </si>
  <si>
    <t xml:space="preserve">Z-101.9</t>
  </si>
  <si>
    <t xml:space="preserve">Z-101.10</t>
  </si>
  <si>
    <t xml:space="preserve">4kw</t>
  </si>
  <si>
    <t xml:space="preserve">Ro High Pressure Pump · 4 kW · 600x510x660 mm</t>
  </si>
  <si>
    <t xml:space="preserve">real DB median of 1 comparable 4kw 'pump' parts (forge-truth.db) · MoC: PVC-U / 304 stainless (WRAS) for potable-water service (WRAS-approved wetted materials)</t>
  </si>
  <si>
    <t xml:space="preserve">P-101.1</t>
  </si>
  <si>
    <t xml:space="preserve">P-101.2</t>
  </si>
  <si>
    <t xml:space="preserve">P-101.3</t>
  </si>
  <si>
    <t xml:space="preserve">↳ Drive Motor · 4.2 kW</t>
  </si>
  <si>
    <t xml:space="preserve">P-101.4</t>
  </si>
  <si>
    <t xml:space="preserve">↳ Variable-Speed Drive · 4.2 kW</t>
  </si>
  <si>
    <t xml:space="preserve">P-101.5</t>
  </si>
  <si>
    <t xml:space="preserve">P-101.6</t>
  </si>
  <si>
    <t xml:space="preserve">P-101.7</t>
  </si>
  <si>
    <t xml:space="preserve">P-101.8</t>
  </si>
  <si>
    <t xml:space="preserve">P-101.9</t>
  </si>
  <si>
    <t xml:space="preserve">P-101.10</t>
  </si>
  <si>
    <t xml:space="preserve">P-101.11</t>
  </si>
  <si>
    <t xml:space="preserve">P-101.12</t>
  </si>
  <si>
    <t xml:space="preserve">P-101.13</t>
  </si>
  <si>
    <t xml:space="preserve">Gac Filter · 1.3 m dia x 1.4 m</t>
  </si>
  <si>
    <t xml:space="preserve">V-101.1</t>
  </si>
  <si>
    <t xml:space="preserve">V-101.2</t>
  </si>
  <si>
    <t xml:space="preserve">V-101.3</t>
  </si>
  <si>
    <t xml:space="preserve">V-101.4</t>
  </si>
  <si>
    <t xml:space="preserve">V-101.5</t>
  </si>
  <si>
    <t xml:space="preserve">V-101.6</t>
  </si>
  <si>
    <t xml:space="preserve">V-101.7</t>
  </si>
  <si>
    <t xml:space="preserve">V-101.8</t>
  </si>
  <si>
    <t xml:space="preserve">V-101.9</t>
  </si>
  <si>
    <t xml:space="preserve">V-101.10</t>
  </si>
  <si>
    <t xml:space="preserve">6 mm; 3.7 m; 36 kPa; 18 MPa; 54 m²; 656 kg</t>
  </si>
  <si>
    <t xml:space="preserve">×3.7; × 656; £12.0/kg; × 1.25</t>
  </si>
  <si>
    <t xml:space="preserve">Fresh Water Tank · 3.7 m dia x 3.7 m</t>
  </si>
  <si>
    <t xml:space="preserve">tapered wall 6 mm = P·r/(σ·E)+c · ⌀3.7×3.7 m (open top (no head)) · P=36 kPa head · σ=18 MPa → 54 m² × 656 kg FRP/GRP @ £12.0/kg supply × 1.25 erection + fittings</t>
  </si>
  <si>
    <t xml:space="preserve">TK-108.1</t>
  </si>
  <si>
    <t xml:space="preserve">TK-108.2</t>
  </si>
  <si>
    <t xml:space="preserve">TK-108.3</t>
  </si>
  <si>
    <t xml:space="preserve">TK-108.4</t>
  </si>
  <si>
    <t xml:space="preserve">TK-108.5</t>
  </si>
  <si>
    <t xml:space="preserve">TK-108.6</t>
  </si>
  <si>
    <t xml:space="preserve">TK-108.7</t>
  </si>
  <si>
    <t xml:space="preserve">TK-108.8</t>
  </si>
  <si>
    <t xml:space="preserve">TK-108.9</t>
  </si>
  <si>
    <t xml:space="preserve">TK-108.10</t>
  </si>
  <si>
    <t xml:space="preserve">TK-108.11</t>
  </si>
  <si>
    <t xml:space="preserve">Drain Water Tank · 3.7 m dia x 3.7 m</t>
  </si>
  <si>
    <t xml:space="preserve">TK-106.1</t>
  </si>
  <si>
    <t xml:space="preserve">TK-106.2</t>
  </si>
  <si>
    <t xml:space="preserve">TK-106.3</t>
  </si>
  <si>
    <t xml:space="preserve">TK-106.4</t>
  </si>
  <si>
    <t xml:space="preserve">TK-106.5</t>
  </si>
  <si>
    <t xml:space="preserve">TK-106.6</t>
  </si>
  <si>
    <t xml:space="preserve">TK-106.7</t>
  </si>
  <si>
    <t xml:space="preserve">TK-106.8</t>
  </si>
  <si>
    <t xml:space="preserve">TK-106.9</t>
  </si>
  <si>
    <t xml:space="preserve">TK-106.10</t>
  </si>
  <si>
    <t xml:space="preserve">TK-106.11</t>
  </si>
  <si>
    <t xml:space="preserve">Compartment Spacers</t>
  </si>
  <si>
    <t xml:space="preserve">bottom-up parametric · commodity-floor (estimate £0.11 renders £0; 'spacers' → £3)</t>
  </si>
  <si>
    <t xml:space="preserve">Uf Membrane Bank · 364 m² area</t>
  </si>
  <si>
    <t xml:space="preserve">membrane-area parametric: 364 m² × £25/m² (spiral-wound/UF module supply, UK-2026; NOT a steel take-off) · merged synonym line(s): 'Ultrafiltration Module' (was £14,825), 'Uf Module Bank' (was £14,825)</t>
  </si>
  <si>
    <t xml:space="preserve">take-off</t>
  </si>
  <si>
    <t xml:space="preserve">Z-102.1</t>
  </si>
  <si>
    <t xml:space="preserve">Z-102.2</t>
  </si>
  <si>
    <t xml:space="preserve">Z-102.3</t>
  </si>
  <si>
    <t xml:space="preserve">Z-102.4</t>
  </si>
  <si>
    <t xml:space="preserve">Z-102.5</t>
  </si>
  <si>
    <t xml:space="preserve">Z-102.6</t>
  </si>
  <si>
    <t xml:space="preserve">Z-102.7</t>
  </si>
  <si>
    <t xml:space="preserve">Z-102.8</t>
  </si>
  <si>
    <t xml:space="preserve">Z-102.9</t>
  </si>
  <si>
    <t xml:space="preserve">Z-102.10</t>
  </si>
  <si>
    <t xml:space="preserve">PLC Controller</t>
  </si>
  <si>
    <t xml:space="preserve">Siemens 6ES7212-1AE40-0XB0</t>
  </si>
  <si>
    <t xml:space="preserve">Veolia Ro40 Controller</t>
  </si>
  <si>
    <t xml:space="preserve">Modbus Interface</t>
  </si>
  <si>
    <t xml:space="preserve">Siemens 6ES7241-1CH32-0XB0</t>
  </si>
  <si>
    <t xml:space="preserve">median £324, n=5</t>
  </si>
  <si>
    <t xml:space="preserve">4%; £12→£132; lifted; corpus; parametric</t>
  </si>
  <si>
    <t xml:space="preserve">Ethernet Ip Module</t>
  </si>
  <si>
    <t xml:space="preserve">bottom-up parametric · lifted £12→£132 to the engine corpus p25 (median £324, n=5; line was 4% of median — under-priced vs the engine's own forge-truth reference)</t>
  </si>
  <si>
    <t xml:space="preserve">Hoogendoorn iSii Remote Monitoring</t>
  </si>
  <si>
    <t xml:space="preserve">HMS Networks (Ewon) FLEXY20500_00MA</t>
  </si>
  <si>
    <t xml:space="preserve">Dc3 Power Controller</t>
  </si>
  <si>
    <t xml:space="preserve">HMI Touchscreen</t>
  </si>
  <si>
    <t xml:space="preserve">Panasonic Industrial Automation AWHS1R070</t>
  </si>
  <si>
    <t xml:space="preserve">Modbus Tcp Interface</t>
  </si>
  <si>
    <t xml:space="preserve">catalogue · commodity-floor (no DB price; 'interface' → £3)</t>
  </si>
  <si>
    <t xml:space="preserve">HMS Networks AB7072-B</t>
  </si>
  <si>
    <t xml:space="preserve">Remote Monitoring Gateway</t>
  </si>
  <si>
    <t xml:space="preserve">catalogue · commodity ceiling · capped at £500 for a bare remote monitoring gateway (was £985; no kW/duty rating — a catalogue part, not a bespoke instrument)</t>
  </si>
  <si>
    <t xml:space="preserve">Digital Control Panel</t>
  </si>
  <si>
    <t xml:space="preserve">Solenoid Valves</t>
  </si>
  <si>
    <t xml:space="preserve">Sensata Technologies, Inc. SOL7A4</t>
  </si>
  <si>
    <t xml:space="preserve">£1.85/DN·mm</t>
  </si>
  <si>
    <t xml:space="preserve">Pneumatic Actuated Valves</t>
  </si>
  <si>
    <t xml:space="preserve">actuated-valve assembly (actuator + valve body as ONE unit): £80 base + £1.85/DN·mm × DN65 assumed (2½ in class) = £200 (UK-2026 trade supply, never the bare-valve band) · MoC: PVC-U / 304 stainless (WRAS) for potable-water service (WRAS-approved wetted materials)</t>
  </si>
  <si>
    <t xml:space="preserve">Bürkert Type 2000</t>
  </si>
  <si>
    <t xml:space="preserve">Manual Isolation Valves</t>
  </si>
  <si>
    <t xml:space="preserve">bottom-up parametric · floored to min credible price · MoC: PVC-U / 304 stainless (WRAS) for potable-water service (WRAS-approved wetted materials)</t>
  </si>
  <si>
    <t xml:space="preserve">Flow Control Valves</t>
  </si>
  <si>
    <t xml:space="preserve">Pentair Fleck 2900S</t>
  </si>
  <si>
    <t xml:space="preserve">install; class budget; catalogue</t>
  </si>
  <si>
    <t xml:space="preserve">Inlet Flow Control Valve · 45 m³/h · DN100 modulating control valve (45 m³/h @ 2 m/s)</t>
  </si>
  <si>
    <t xml:space="preserve">installed actuator — catalogue-class budget</t>
  </si>
  <si>
    <t xml:space="preserve">Manual Ball Valve</t>
  </si>
  <si>
    <t xml:space="preserve">Pneumatic Control Valve</t>
  </si>
  <si>
    <t xml:space="preserve">Bürkert Type 2301</t>
  </si>
  <si>
    <t xml:space="preserve">Automated Ball Valves</t>
  </si>
  <si>
    <t xml:space="preserve">Conductivity Sensor</t>
  </si>
  <si>
    <t xml:space="preserve">Flow Meter</t>
  </si>
  <si>
    <t xml:space="preserve">Sensirion SFM4100-Air, N2 Downmount</t>
  </si>
  <si>
    <t xml:space="preserve">Ph Sensor</t>
  </si>
  <si>
    <t xml:space="preserve">Orp Sensor</t>
  </si>
  <si>
    <t xml:space="preserve">1.4 m</t>
  </si>
  <si>
    <t xml:space="preserve">×2; ×8; ×1; install; class budget; catalogue</t>
  </si>
  <si>
    <t xml:space="preserve">Level Transmitter · 0–1.4 m</t>
  </si>
  <si>
    <t xml:space="preserve">installed instrument — catalogue-class budget · qty 13 = one per monitored vessel (a contract-declared control variable is measured on EVERY vessel that holds it — stated engineering rule); locations: softener vessel ×2 (0–1.4 m), nutrient tank ×8 (0–1.4 m), drain collection sump ×2 (0–1.4 m), gac filter ×1 (0–1.4 m)</t>
  </si>
  <si>
    <t xml:space="preserve">Endress+Hauser Waterpilot FMX21</t>
  </si>
  <si>
    <t xml:space="preserve">LT-214</t>
  </si>
  <si>
    <t xml:space="preserve">Level Transmitter · 0–3 m</t>
  </si>
  <si>
    <t xml:space="preserve">installed instrument — catalogue-class budget</t>
  </si>
  <si>
    <t xml:space="preserve">LT-215–217</t>
  </si>
  <si>
    <t xml:space="preserve">4 m</t>
  </si>
  <si>
    <t xml:space="preserve">×1; ×2; install; class budget; catalogue</t>
  </si>
  <si>
    <t xml:space="preserve">Level Transmitter · 0–4 m</t>
  </si>
  <si>
    <t xml:space="preserve">installed instrument — catalogue-class budget · qty 3 = one per monitored vessel (a contract-declared control variable is measured on EVERY vessel that holds it — stated engineering rule); locations: fresh water tank ×1 (0–4 m), drain water tank ×2 (0–4 m)</t>
  </si>
  <si>
    <t xml:space="preserve">pH Analyser · pH 0–14 (control 0.3)</t>
  </si>
  <si>
    <t xml:space="preserve">Hach LXV404.99.05112</t>
  </si>
  <si>
    <t xml:space="preserve">5 bar</t>
  </si>
  <si>
    <t xml:space="preserve">Pressure Transmitter · 0–5 bar</t>
  </si>
  <si>
    <t xml:space="preserve">installed instrument — catalogue-class budget · qty 17 = one per monitored vessel (a contract-declared control variable is measured on EVERY vessel that holds it — stated engineering rule); locations: softener vessel ×2 (0–5 bar), nutrient tank ×8 (0–5 bar), drain collection sump ×2 (0–5 bar), reverse osmosis skid ×1 (0–5 bar), gac filter ×1 (0–5 bar), fresh water tank ×1 (0–5 b</t>
  </si>
  <si>
    <t xml:space="preserve">Telemecanique XMLP150PD130</t>
  </si>
  <si>
    <t xml:space="preserve">Silica Analyzer</t>
  </si>
  <si>
    <t xml:space="preserve">Hach 5500sc</t>
  </si>
  <si>
    <t xml:space="preserve">Chlorine Sensor</t>
  </si>
  <si>
    <t xml:space="preserve">Tds Sensor</t>
  </si>
  <si>
    <t xml:space="preserve">Mains Incomer · 125 A · 400 V 3-phase LV incomer · 125 A ACB frame (sized to 53 kW connected load, PF 0.9, 25% margin)</t>
  </si>
  <si>
    <t xml:space="preserve">Main Switchboard · 125 A · 400 V 3-phase LV incomer · 125 A ACB frame (sized to 53 kW connected load, PF 0.9, 25% margin)</t>
  </si>
  <si>
    <t xml:space="preserve">Power Supply Unit</t>
  </si>
  <si>
    <t xml:space="preserve">Surge Protection Device</t>
  </si>
  <si>
    <t xml:space="preserve">Phoenix Contact 2838199</t>
  </si>
  <si>
    <t xml:space="preserve">Permeate Outlet</t>
  </si>
  <si>
    <t xml:space="preserve">Concentrate Outlet</t>
  </si>
  <si>
    <t xml:space="preserve">Sample Valves</t>
  </si>
  <si>
    <t xml:space="preserve">Painted Steel Skid Frame · 2.3 m dia x 2.4 m</t>
  </si>
  <si>
    <t xml:space="preserve">painted structural carbon steel (S275/S355)</t>
  </si>
  <si>
    <t xml:space="preserve">made-to-spec · structural budget estimate</t>
  </si>
  <si>
    <t xml:space="preserve">Sst304 Skid Frame · 2.3 m dia x 2.4 m</t>
  </si>
  <si>
    <t xml:space="preserve">304 stainless steel</t>
  </si>
  <si>
    <t xml:space="preserve">Leveling Feet</t>
  </si>
  <si>
    <t xml:space="preserve">bottom-up parametric · commodity-floor (estimate £0.11 renders £0; 'feet' → £3)</t>
  </si>
  <si>
    <t xml:space="preserve">75 kVA</t>
  </si>
  <si>
    <t xml:space="preserve">£28/kVA; install; rating-based</t>
  </si>
  <si>
    <t xml:space="preserve">Transformer · 75 kW · 1090x927x1199 mm</t>
  </si>
  <si>
    <t xml:space="preserve">rating-based: 75 kVA × £28/kVA (UK-2026 installed mid; band £15-55/kVA) — transformer @ £/kVA [£15 below band → grounded to market]</t>
  </si>
  <si>
    <t xml:space="preserve">median £1,500, n=5</t>
  </si>
  <si>
    <t xml:space="preserve">3%; £40→£300; lifted; corpus; parametric</t>
  </si>
  <si>
    <t xml:space="preserve">Module Support System</t>
  </si>
  <si>
    <t xml:space="preserve">bottom-up parametric · lifted £40→£300 to the engine corpus p25 (median £1,500, n=5; line was 3% of median — under-priced vs the engine's own forge-truth reference)</t>
  </si>
  <si>
    <t xml:space="preserve">Flexmount Connectors</t>
  </si>
  <si>
    <t xml:space="preserve">Painted Carbon Steel Skid Frame · 2.3 m dia x 2.4 m</t>
  </si>
  <si>
    <t xml:space="preserve">364 m²; 37 m²</t>
  </si>
  <si>
    <t xml:space="preserve">× 8; take-off; parametric</t>
  </si>
  <si>
    <t xml:space="preserve">Grp Membrane Housings · 364 m² area</t>
  </si>
  <si>
    <t xml:space="preserve">membrane-housing parametric: 364 m² membrane area ÷ 37 m²/element → 10 × 8-in GRP pressure housing @ £1,100 (UK-2026 supply; NOT a steel take-off)</t>
  </si>
  <si>
    <t xml:space="preserve">Pressure Relief Valve · 4 kW · 600x510x660 mm</t>
  </si>
  <si>
    <t xml:space="preserve">Goetze Series 851</t>
  </si>
  <si>
    <t xml:space="preserve">Low Pressure Switch</t>
  </si>
  <si>
    <t xml:space="preserve">Danfoss 060-121966</t>
  </si>
  <si>
    <t xml:space="preserve">High Pressure Switch</t>
  </si>
  <si>
    <t xml:space="preserve">floored; catalogue</t>
  </si>
  <si>
    <t xml:space="preserve">Emergency Stop Button</t>
  </si>
  <si>
    <t xml:space="preserve">catalogue · floored to min credible price</t>
  </si>
  <si>
    <t xml:space="preserve">Eaton 216516</t>
  </si>
  <si>
    <t xml:space="preserve">0 m²; 0 bar</t>
  </si>
  <si>
    <t xml:space="preserve">Electrical Control Cabinet</t>
  </si>
  <si>
    <t xml:space="preserve">structural steelwork take-off: 0 m² plan × £90/m² (UK-2026 fabricated + erected; service=structural, dry, 0 bar — NOT a pressure shell) + £8k connections</t>
  </si>
  <si>
    <t xml:space="preserve">Rittal VX25 8284.500</t>
  </si>
  <si>
    <t xml:space="preserve">Cable Trays</t>
  </si>
  <si>
    <t xml:space="preserve">Legrand SRFL100G</t>
  </si>
  <si>
    <t xml:space="preserve">Overcurrent Protection</t>
  </si>
  <si>
    <t xml:space="preserve">Leak Detection Sensor</t>
  </si>
  <si>
    <t xml:space="preserve">median £647, n=5</t>
  </si>
  <si>
    <t xml:space="preserve">19%; £121→£345; lifted; corpus; catalogue</t>
  </si>
  <si>
    <t xml:space="preserve">Motor Overload Protection</t>
  </si>
  <si>
    <t xml:space="preserve">catalogue · lifted £121→£345 to the engine corpus p25 (median £647, n=5; line was 19% of median — under-priced vs the engine's own forge-truth reference)</t>
  </si>
  <si>
    <t xml:space="preserve">Siemens 3RU2126-4DB0</t>
  </si>
  <si>
    <t xml:space="preserve">median £74, n=5</t>
  </si>
  <si>
    <t xml:space="preserve">12%; £9→£72; lifted; corpus; parametric</t>
  </si>
  <si>
    <t xml:space="preserve">Cip System Connections</t>
  </si>
  <si>
    <t xml:space="preserve">bottom-up parametric · lifted £9→£72 to the engine corpus p25 (median £74, n=5; line was 12% of median — under-priced vs the engine's own forge-truth reference)</t>
  </si>
  <si>
    <t xml:space="preserve">3 Part Union Fittings</t>
  </si>
  <si>
    <t xml:space="preserve">Modular Stack Design</t>
  </si>
  <si>
    <t xml:space="preserve">Cable Glands</t>
  </si>
  <si>
    <t xml:space="preserve">Cabletec CG-M20-IP68</t>
  </si>
  <si>
    <t xml:space="preserve">Cip System</t>
  </si>
  <si>
    <t xml:space="preserve">6 mm; 1.3 m; 13 kPa; 18 MPa; 7 m²; 89 kg; median £8,082, n</t>
  </si>
  <si>
    <t xml:space="preserve">×1.3; × 89; £12.0/kg; × 1.25; 42%; £3,404→£4,000; lifted;</t>
  </si>
  <si>
    <t xml:space="preserve">Cleaning Tank · 1.4 m dia x 1.3 m</t>
  </si>
  <si>
    <t xml:space="preserve">tapered wall 6 mm = P·r/(σ·E)+c · ⌀1.4×1.3 m (open top (no head)) · P=13 kPa head · σ=18 MPa → 7 m² × 89 kg FRP/GRP @ £12.0/kg supply × 1.25 erection + fittings · lifted £3,404→£4,000 to the engine corpus p25 (median £8,082, n=5; line was 42% of median — under-priced vs the engine's own forge-truth reference)</t>
  </si>
  <si>
    <t xml:space="preserve">TK-102.1 / TK-101.1</t>
  </si>
  <si>
    <t xml:space="preserve">TK-102.2 / TK-101.2</t>
  </si>
  <si>
    <t xml:space="preserve">TK-102.3 / TK-101.3</t>
  </si>
  <si>
    <t xml:space="preserve">TK-102.4 / TK-101.4</t>
  </si>
  <si>
    <t xml:space="preserve">TK-102.5 / TK-101.5</t>
  </si>
  <si>
    <t xml:space="preserve">TK-102.6 / TK-101.6</t>
  </si>
  <si>
    <t xml:space="preserve">TK-102.7 / TK-101.7</t>
  </si>
  <si>
    <t xml:space="preserve">TK-102.8 / TK-101.8</t>
  </si>
  <si>
    <t xml:space="preserve">TK-102.9 / TK-101.9</t>
  </si>
  <si>
    <t xml:space="preserve">TK-102.10 / TK-101.10</t>
  </si>
  <si>
    <t xml:space="preserve">TK-102.11 / TK-101.11</t>
  </si>
  <si>
    <t xml:space="preserve">Isolation Valves</t>
  </si>
  <si>
    <t xml:space="preserve">C01</t>
  </si>
  <si>
    <t xml:space="preserve">water connection: Gac Softener → Softener Vessel · 14.5 m3/h</t>
  </si>
  <si>
    <t xml:space="preserve">pipe £66/m @ DN80 (HDPE/</t>
  </si>
  <si>
    <t xml:space="preserve">10.8 m; 25 m³; 1.4 m</t>
  </si>
  <si>
    <t xml:space="preserve">£66/m; × 10.8; install</t>
  </si>
  <si>
    <t xml:space="preserve">moderate — deterministic take-off (routed length × rate)</t>
  </si>
  <si>
    <t xml:space="preserve">HDPE/PVC-U</t>
  </si>
  <si>
    <t xml:space="preserve">pipe £66/m @ DN80 (HDPE/PVC-U) × 10.8 m + 2 ends · sized 25 m³/h @ 1.4 m/s · branch duty (default — endpoint not on main loop) · installed cost — supply + installation labour + terminations included (uk-2026 supply+install model; not a bare-fittings/component price)</t>
  </si>
  <si>
    <t xml:space="preserve">DN80 HDPE/PVC-U pipe, 10.8 m</t>
  </si>
  <si>
    <t xml:space="preserve">C02</t>
  </si>
  <si>
    <t xml:space="preserve">water connection: Gac Softener → Drain Collection Sump · 45 m3/h</t>
  </si>
  <si>
    <t xml:space="preserve">pipe £36/m @ DN32 (HDPE/</t>
  </si>
  <si>
    <t xml:space="preserve">20.4 m; 5 m³; 1.7 m</t>
  </si>
  <si>
    <t xml:space="preserve">£36/m; × 20.4; install</t>
  </si>
  <si>
    <t xml:space="preserve">pipe £36/m @ DN32 (HDPE/PVC-U) × 20.4 m + 2 ends · sized 5 m³/h @ 1.7 m/s · bleed/drain duty (~make-up balance) · installed cost — supply + installation labour + terminations included (uk-2026 supply+install model; not a bare-fittings/component price)</t>
  </si>
  <si>
    <t xml:space="preserve">DN32 HDPE/PVC-U pipe, 20.4 m</t>
  </si>
  <si>
    <t xml:space="preserve">C03</t>
  </si>
  <si>
    <t xml:space="preserve">water connection: Uf Module Bank → Ro High Pressure Pump · 11 m3/h</t>
  </si>
  <si>
    <t xml:space="preserve">21.5 m; 25 m³; 1.4 m</t>
  </si>
  <si>
    <t xml:space="preserve">£66/m; × 21.5; install</t>
  </si>
  <si>
    <t xml:space="preserve">pipe £66/m @ DN80 (HDPE/PVC-U) × 21.5 m + 2 ends · sized 25 m³/h @ 1.4 m/s · branch duty (default — endpoint not on main loop) · installed cost — supply + installation labour + terminations included (uk-2026 supply+install model; not a bare-fittings/component price)</t>
  </si>
  <si>
    <t xml:space="preserve">DN80 HDPE/PVC-U pipe, 21.5 m</t>
  </si>
  <si>
    <t xml:space="preserve">C04</t>
  </si>
  <si>
    <t xml:space="preserve">water connection: Uf Module Bank → Drain Collection Sump · 45 m3/h</t>
  </si>
  <si>
    <t xml:space="preserve">22.1 m; 5 m³; 1.7 m</t>
  </si>
  <si>
    <t xml:space="preserve">£36/m; × 22.1; install</t>
  </si>
  <si>
    <t xml:space="preserve">pipe £36/m @ DN32 (HDPE/PVC-U) × 22.1 m + 2 ends · sized 5 m³/h @ 1.7 m/s · bleed/drain duty (~make-up balance) · installed cost — supply + installation labour + terminations included (uk-2026 supply+install model; not a bare-fittings/component price)</t>
  </si>
  <si>
    <t xml:space="preserve">DN32 HDPE/PVC-U pipe, 22.1 m</t>
  </si>
  <si>
    <t xml:space="preserve">C05</t>
  </si>
  <si>
    <t xml:space="preserve">water connection: Ro High Pressure Pump → Reverse Osmosis Skid · 11 m3/h</t>
  </si>
  <si>
    <t xml:space="preserve">30.9 m; 25 m³; 1.4 m</t>
  </si>
  <si>
    <t xml:space="preserve">£66/m; × 30.9; install</t>
  </si>
  <si>
    <t xml:space="preserve">pipe £66/m @ DN80 (HDPE/PVC-U) × 30.9 m + 2 ends · sized 25 m³/h @ 1.4 m/s · branch duty (default — endpoint not on main loop) · installed cost — supply + installation labour + terminations included (uk-2026 supply+install model; not a bare-fittings/component price)</t>
  </si>
  <si>
    <t xml:space="preserve">DN80 HDPE/PVC-U pipe, 30.9 m</t>
  </si>
  <si>
    <t xml:space="preserve">C06</t>
  </si>
  <si>
    <t xml:space="preserve">water connection: Ro High Pressure Pump → Drain Collection Sump · 45 m3/h</t>
  </si>
  <si>
    <t xml:space="preserve">35.1 m; 5 m³; 1.7 m</t>
  </si>
  <si>
    <t xml:space="preserve">£36/m; × 35.1; install</t>
  </si>
  <si>
    <t xml:space="preserve">pipe £36/m @ DN32 (HDPE/PVC-U) × 35.1 m + 2 ends · sized 5 m³/h @ 1.7 m/s · bleed/drain duty (~make-up balance) · installed cost — supply + installation labour + terminations included (uk-2026 supply+install model; not a bare-fittings/component price)</t>
  </si>
  <si>
    <t xml:space="preserve">DN32 HDPE/PVC-U pipe, 35.1 m</t>
  </si>
  <si>
    <t xml:space="preserve">C07</t>
  </si>
  <si>
    <t xml:space="preserve">water connection: Cloth Filter → Gac Filter · 80 m3/h</t>
  </si>
  <si>
    <t xml:space="preserve">18.6 m; 25 m³; 1.4 m</t>
  </si>
  <si>
    <t xml:space="preserve">£66/m; × 18.6; install</t>
  </si>
  <si>
    <t xml:space="preserve">pipe £66/m @ DN80 (HDPE/PVC-U) × 18.6 m + 2 ends · sized 25 m³/h @ 1.4 m/s · branch duty (default — endpoint not on main loop) · installed cost — supply + installation labour + terminations included (uk-2026 supply+install model; not a bare-fittings/component price)</t>
  </si>
  <si>
    <t xml:space="preserve">DN80 HDPE/PVC-U pipe, 18.6 m</t>
  </si>
  <si>
    <t xml:space="preserve">C08</t>
  </si>
  <si>
    <t xml:space="preserve">water connection: Cloth Filter → Drain Collection Sump · 45 m3/h</t>
  </si>
  <si>
    <t xml:space="preserve">23.5 m; 5 m³; 1.7 m</t>
  </si>
  <si>
    <t xml:space="preserve">£36/m; × 23.5; install</t>
  </si>
  <si>
    <t xml:space="preserve">pipe £36/m @ DN32 (HDPE/PVC-U) × 23.5 m + 2 ends · sized 5 m³/h @ 1.7 m/s · bleed/drain duty (~make-up balance) · installed cost — supply + installation labour + terminations included (uk-2026 supply+install model; not a bare-fittings/component price)</t>
  </si>
  <si>
    <t xml:space="preserve">DN32 HDPE/PVC-U pipe, 23.5 m</t>
  </si>
  <si>
    <t xml:space="preserve">C09</t>
  </si>
  <si>
    <t xml:space="preserve">water connection: Gac Filter → Uv Disinfection · 90 m3/h</t>
  </si>
  <si>
    <t xml:space="preserve">20.7 m; 25 m³; 1.4 m; 45 m³</t>
  </si>
  <si>
    <t xml:space="preserve">£66/m; × 20.7; × 2; install</t>
  </si>
  <si>
    <t xml:space="preserve">pipe £66/m @ DN80 (HDPE/PVC-U) × 20.7 m + 2 ends · sized 25 m³/h @ 1.4 m/s · branch duty (default — endpoint not on main loop) · installed cost — supply + installation labour + terminations included (uk-2026 supply+install model; not a bare-fittings/component price) · demand-sized: peak irrigation demand = 45 m³/h per department × 2 departments</t>
  </si>
  <si>
    <t xml:space="preserve">DN80 HDPE/PVC-U pipe, 20.7 m</t>
  </si>
  <si>
    <t xml:space="preserve">C10</t>
  </si>
  <si>
    <t xml:space="preserve">water connection: Gac Filter → Drain Collection Sump · 45 m3/h</t>
  </si>
  <si>
    <t xml:space="preserve">29.6 m; 5 m³; 1.7 m</t>
  </si>
  <si>
    <t xml:space="preserve">£36/m; × 29.6; install</t>
  </si>
  <si>
    <t xml:space="preserve">pipe £36/m @ DN32 (HDPE/PVC-U) × 29.6 m + 2 ends · sized 5 m³/h @ 1.7 m/s · bleed/drain duty (~make-up balance) · installed cost — supply + installation labour + terminations included (uk-2026 supply+install model; not a bare-fittings/component price)</t>
  </si>
  <si>
    <t xml:space="preserve">DN32 HDPE/PVC-U pipe, 29.6 m</t>
  </si>
  <si>
    <t xml:space="preserve">C11</t>
  </si>
  <si>
    <t xml:space="preserve">water connection: Uv Disinfection → Drain Collection Sump · 45 m3/h</t>
  </si>
  <si>
    <t xml:space="preserve">27.7 m; 5 m³; 1.7 m</t>
  </si>
  <si>
    <t xml:space="preserve">£36/m; × 27.7; install</t>
  </si>
  <si>
    <t xml:space="preserve">pipe £36/m @ DN32 (HDPE/PVC-U) × 27.7 m + 2 ends · sized 5 m³/h @ 1.7 m/s · bleed/drain duty (~make-up balance) · installed cost — supply + installation labour + terminations included (uk-2026 supply+install model; not a bare-fittings/component price)</t>
  </si>
  <si>
    <t xml:space="preserve">DN32 HDPE/PVC-U pipe, 27.7 m</t>
  </si>
  <si>
    <t xml:space="preserve">C12</t>
  </si>
  <si>
    <t xml:space="preserve">water connection: Drain Collection Sump → Drain Water Tank · 45 m3/h</t>
  </si>
  <si>
    <t xml:space="preserve">11.7 m; 5 m³; 1.7 m</t>
  </si>
  <si>
    <t xml:space="preserve">£36/m; × 11.7; install</t>
  </si>
  <si>
    <t xml:space="preserve">pipe £36/m @ DN32 (HDPE/PVC-U) × 11.7 m + 2 ends · sized 5 m³/h @ 1.7 m/s · bleed/drain duty (~make-up balance) · installed cost — supply + installation labour + terminations included (uk-2026 supply+install model; not a bare-fittings/component price)</t>
  </si>
  <si>
    <t xml:space="preserve">DN32 HDPE/PVC-U pipe, 11.7 m</t>
  </si>
  <si>
    <t xml:space="preserve">C13</t>
  </si>
  <si>
    <t xml:space="preserve">water connection: Drain Collection Sump → Uv Disinfection · 90 m3/h</t>
  </si>
  <si>
    <t xml:space="preserve">22.4 m; 5 m³; 1.7 m; 45 m³</t>
  </si>
  <si>
    <t xml:space="preserve">£36/m; × 22.4; × 2; install</t>
  </si>
  <si>
    <t xml:space="preserve">pipe £36/m @ DN32 (HDPE/PVC-U) × 22.4 m + 2 ends · sized 5 m³/h @ 1.7 m/s · bleed/drain duty (~make-up balance) · installed cost — supply + installation labour + terminations included (uk-2026 supply+install model; not a bare-fittings/component price) · demand-sized: peak irrigation demand = 45 m³/h per department × 2 departments</t>
  </si>
  <si>
    <t xml:space="preserve">DN32 HDPE/PVC-U pipe, 22.4 m</t>
  </si>
  <si>
    <t xml:space="preserve">C14</t>
  </si>
  <si>
    <t xml:space="preserve">water connection: Drain Collection Sump → Softener Vessel · 14.5 m3/h</t>
  </si>
  <si>
    <t xml:space="preserve">8.9 m; 5 m³; 1.7 m</t>
  </si>
  <si>
    <t xml:space="preserve">£36/m; × 8.9; install</t>
  </si>
  <si>
    <t xml:space="preserve">pipe £36/m @ DN32 (HDPE/PVC-U) × 8.9 m + 2 ends · sized 5 m³/h @ 1.7 m/s · bleed/drain duty (~make-up balance) · installed cost — supply + installation labour + terminations included (uk-2026 supply+install model; not a bare-fittings/component price)</t>
  </si>
  <si>
    <t xml:space="preserve">DN32 HDPE/PVC-U pipe, 8.9 m</t>
  </si>
  <si>
    <t xml:space="preserve">C15</t>
  </si>
  <si>
    <t xml:space="preserve">water connection: Drain Collection Sump → Hand Watering Pump · 25 m3/h</t>
  </si>
  <si>
    <t xml:space="preserve">29.4 m; 5 m³; 1.7 m</t>
  </si>
  <si>
    <t xml:space="preserve">£36/m; × 29.4; install</t>
  </si>
  <si>
    <t xml:space="preserve">pipe £36/m @ DN32 (HDPE/PVC-U) × 29.4 m + 2 ends · sized 5 m³/h @ 1.7 m/s · bleed/drain duty (~make-up balance) · installed cost — supply + installation labour + terminations included (uk-2026 supply+install model; not a bare-fittings/component price)</t>
  </si>
  <si>
    <t xml:space="preserve">DN32 HDPE/PVC-U pipe, 29.4 m</t>
  </si>
  <si>
    <t xml:space="preserve">C16</t>
  </si>
  <si>
    <t xml:space="preserve">water connection: Drain Collection Sump → Cloth Filter · 80 m3/h</t>
  </si>
  <si>
    <t xml:space="preserve">19.5 m; 5 m³; 1.7 m</t>
  </si>
  <si>
    <t xml:space="preserve">£36/m; × 19.5; install</t>
  </si>
  <si>
    <t xml:space="preserve">pipe £36/m @ DN32 (HDPE/PVC-U) × 19.5 m + 2 ends · sized 5 m³/h @ 1.7 m/s · bleed/drain duty (~make-up balance) · installed cost — supply + installation labour + terminations included (uk-2026 supply+install model; not a bare-fittings/component price)</t>
  </si>
  <si>
    <t xml:space="preserve">DN32 HDPE/PVC-U pipe, 19.5 m</t>
  </si>
  <si>
    <t xml:space="preserve">C17</t>
  </si>
  <si>
    <t xml:space="preserve">water connection: Drain Collection Sump → Gac Softener · 14.5 m3/h</t>
  </si>
  <si>
    <t xml:space="preserve">9.4 m; 5 m³; 1.7 m</t>
  </si>
  <si>
    <t xml:space="preserve">£36/m; × 9.4; install</t>
  </si>
  <si>
    <t xml:space="preserve">pipe £36/m @ DN32 (HDPE/PVC-U) × 9.4 m + 2 ends · sized 5 m³/h @ 1.7 m/s · bleed/drain duty (~make-up balance) · installed cost — supply + installation labour + terminations included (uk-2026 supply+install model; not a bare-fittings/component price)</t>
  </si>
  <si>
    <t xml:space="preserve">DN32 HDPE/PVC-U pipe, 9.4 m</t>
  </si>
  <si>
    <t xml:space="preserve">C18</t>
  </si>
  <si>
    <t xml:space="preserve">water connection: Drain Collection Sump → Irrigation Pump · 90 m3/h</t>
  </si>
  <si>
    <t xml:space="preserve">26.7 m; 5 m³; 1.7 m; 45 m³</t>
  </si>
  <si>
    <t xml:space="preserve">£36/m; × 26.7; × 2; install</t>
  </si>
  <si>
    <t xml:space="preserve">pipe £36/m @ DN32 (HDPE/PVC-U) × 26.7 m + 2 ends · sized 5 m³/h @ 1.7 m/s · bleed/drain duty (~make-up balance) · installed cost — supply + installation labour + terminations included (uk-2026 supply+install model; not a bare-fittings/component price) · demand-sized: peak irrigation demand = 45 m³/h per department × 2 departments</t>
  </si>
  <si>
    <t xml:space="preserve">DN32 HDPE/PVC-U pipe, 26.7 m</t>
  </si>
  <si>
    <t xml:space="preserve">C19</t>
  </si>
  <si>
    <t xml:space="preserve">water connection: Drain Collection Sump → Reverse Osmosis Skid · 45 m3/h</t>
  </si>
  <si>
    <t xml:space="preserve">3.7 m; 5 m³; 1.7 m</t>
  </si>
  <si>
    <t xml:space="preserve">£36/m; × 3.7; install</t>
  </si>
  <si>
    <t xml:space="preserve">pipe £36/m @ DN32 (HDPE/PVC-U) × 3.7 m + 2 ends · sized 5 m³/h @ 1.7 m/s · bleed/drain duty (~make-up balance) · installed cost — supply + installation labour + terminations included (uk-2026 supply+install model; not a bare-fittings/component price)</t>
  </si>
  <si>
    <t xml:space="preserve">DN32 HDPE/PVC-U pipe, 3.7 m</t>
  </si>
  <si>
    <t xml:space="preserve">C20</t>
  </si>
  <si>
    <t xml:space="preserve">water connection: Drain Collection Sump → Ro High Pressure Pump · 11 m3/h</t>
  </si>
  <si>
    <t xml:space="preserve">30.4 m; 5 m³; 1.7 m</t>
  </si>
  <si>
    <t xml:space="preserve">£36/m; × 30.4; install</t>
  </si>
  <si>
    <t xml:space="preserve">pipe £36/m @ DN32 (HDPE/PVC-U) × 30.4 m + 2 ends · sized 5 m³/h @ 1.7 m/s · bleed/drain duty (~make-up balance) · installed cost — supply + installation labour + terminations included (uk-2026 supply+install model; not a bare-fittings/component price)</t>
  </si>
  <si>
    <t xml:space="preserve">DN32 HDPE/PVC-U pipe, 30.4 m</t>
  </si>
  <si>
    <t xml:space="preserve">C21</t>
  </si>
  <si>
    <t xml:space="preserve">water connection: Drain Collection Sump → Gac Filter · 45 m3/h</t>
  </si>
  <si>
    <t xml:space="preserve">24.0 m; 5 m³; 1.7 m</t>
  </si>
  <si>
    <t xml:space="preserve">£36/m; × 24.0; install</t>
  </si>
  <si>
    <t xml:space="preserve">pipe £36/m @ DN32 (HDPE/PVC-U) × 24.0 m + 2 ends · sized 5 m³/h @ 1.7 m/s · bleed/drain duty (~make-up balance) · installed cost — supply + installation labour + terminations included (uk-2026 supply+install model; not a bare-fittings/component price)</t>
  </si>
  <si>
    <t xml:space="preserve">DN32 HDPE/PVC-U pipe, 24.0 m</t>
  </si>
  <si>
    <t xml:space="preserve">C22</t>
  </si>
  <si>
    <t xml:space="preserve">water connection: Drain Collection Sump → Uf Module Bank · 45 m3/h</t>
  </si>
  <si>
    <t xml:space="preserve">8.6 m; 5 m³; 1.7 m</t>
  </si>
  <si>
    <t xml:space="preserve">£36/m; × 8.6; install</t>
  </si>
  <si>
    <t xml:space="preserve">pipe £36/m @ DN32 (HDPE/PVC-U) × 8.6 m + 2 ends · sized 5 m³/h @ 1.7 m/s · bleed/drain duty (~make-up balance) · installed cost — supply + installation labour + terminations included (uk-2026 supply+install model; not a bare-fittings/component price)</t>
  </si>
  <si>
    <t xml:space="preserve">DN32 HDPE/PVC-U pipe, 8.6 m</t>
  </si>
  <si>
    <t xml:space="preserve">C23</t>
  </si>
  <si>
    <t xml:space="preserve">water connection: Drain Collection Sump → Cleaning Tank · 4 m3/h</t>
  </si>
  <si>
    <t xml:space="preserve">20.3 m; 5 m³; 1.7 m</t>
  </si>
  <si>
    <t xml:space="preserve">£36/m; × 20.3; install</t>
  </si>
  <si>
    <t xml:space="preserve">pipe £36/m @ DN32 (HDPE/PVC-U) × 20.3 m + 2 ends · sized 5 m³/h @ 1.7 m/s · bleed/drain duty (~make-up balance) · installed cost — supply + installation labour + terminations included (uk-2026 supply+install model; not a bare-fittings/component price)</t>
  </si>
  <si>
    <t xml:space="preserve">DN32 HDPE/PVC-U pipe, 20.3 m</t>
  </si>
  <si>
    <t xml:space="preserve">C24</t>
  </si>
  <si>
    <t xml:space="preserve">water connection: Drain Collection Sump → Cip Tank · 4 m3/h</t>
  </si>
  <si>
    <t xml:space="preserve">23.9 m; 5 m³; 1.7 m</t>
  </si>
  <si>
    <t xml:space="preserve">£36/m; × 23.9; install</t>
  </si>
  <si>
    <t xml:space="preserve">pipe £36/m @ DN32 (HDPE/PVC-U) × 23.9 m + 2 ends · sized 5 m³/h @ 1.7 m/s · bleed/drain duty (~make-up balance) · installed cost — supply + installation labour + terminations included (uk-2026 supply+install model; not a bare-fittings/component price)</t>
  </si>
  <si>
    <t xml:space="preserve">DN32 HDPE/PVC-U pipe, 23.9 m</t>
  </si>
  <si>
    <t xml:space="preserve">C25</t>
  </si>
  <si>
    <t xml:space="preserve">water connection: Drain Water Tank → Drain Transfer Pump · 45 m3/h</t>
  </si>
  <si>
    <t xml:space="preserve">27.5 m; 5 m³; 1.7 m</t>
  </si>
  <si>
    <t xml:space="preserve">£36/m; × 27.5; install</t>
  </si>
  <si>
    <t xml:space="preserve">pipe £36/m @ DN32 (HDPE/PVC-U) × 27.5 m + 2 ends · sized 5 m³/h @ 1.7 m/s · bleed/drain duty (~make-up balance) · installed cost — supply + installation labour + terminations included (uk-2026 supply+install model; not a bare-fittings/component price)</t>
  </si>
  <si>
    <t xml:space="preserve">DN32 HDPE/PVC-U pipe, 27.5 m</t>
  </si>
  <si>
    <t xml:space="preserve">C26</t>
  </si>
  <si>
    <t xml:space="preserve">water connection: Drain Transfer Pump → Cip Tank · 4 m3/h</t>
  </si>
  <si>
    <t xml:space="preserve">C27</t>
  </si>
  <si>
    <t xml:space="preserve">water connection: Cip Tank → Cleaning Tank · 4 m3/h</t>
  </si>
  <si>
    <t xml:space="preserve">3.3 m; 25 m³; 1.4 m</t>
  </si>
  <si>
    <t xml:space="preserve">£66/m; × 3.3; install</t>
  </si>
  <si>
    <t xml:space="preserve">pipe £66/m @ DN80 (HDPE/PVC-U) × 3.3 m + 2 ends · sized 25 m³/h @ 1.4 m/s · branch duty (default — endpoint not on main loop) · installed cost — supply + installation labour + terminations included (uk-2026 supply+install model; not a bare-fittings/component price)</t>
  </si>
  <si>
    <t xml:space="preserve">DN80 HDPE/PVC-U pipe, 3.3 m</t>
  </si>
  <si>
    <t xml:space="preserve">C28</t>
  </si>
  <si>
    <t xml:space="preserve">water connection: Cip Tank → Drain Collection Sump · 45 m3/h</t>
  </si>
  <si>
    <t xml:space="preserve">20.6 m; 5 m³; 1.7 m</t>
  </si>
  <si>
    <t xml:space="preserve">£36/m; × 20.6; install</t>
  </si>
  <si>
    <t xml:space="preserve">pipe £36/m @ DN32 (HDPE/PVC-U) × 20.6 m + 2 ends · sized 5 m³/h @ 1.7 m/s · bleed/drain duty (~make-up balance) · installed cost — supply + installation labour + terminations included (uk-2026 supply+install model; not a bare-fittings/component price)</t>
  </si>
  <si>
    <t xml:space="preserve">DN32 HDPE/PVC-U pipe, 20.6 m</t>
  </si>
  <si>
    <t xml:space="preserve">C29</t>
  </si>
  <si>
    <t xml:space="preserve">water connection: Cleaning Tank → Fresh Water Tank · 4 m3/h</t>
  </si>
  <si>
    <t xml:space="preserve">13.9 m; 5 m³; 1.7 m</t>
  </si>
  <si>
    <t xml:space="preserve">£36/m; × 13.9; 0.4%; install</t>
  </si>
  <si>
    <t xml:space="preserve">pipe £36/m @ DN32 (HDPE/PVC-U) × 13.9 m + 2 ends · sized 5 m³/h @ 1.7 m/s · make-up water duty (~0.4% of recirc) · installed cost — supply + installation labour + terminations included (uk-2026 supply+install model; not a bare-fittings/component price)</t>
  </si>
  <si>
    <t xml:space="preserve">DN32 HDPE/PVC-U pipe, 13.9 m</t>
  </si>
  <si>
    <t xml:space="preserve">C30</t>
  </si>
  <si>
    <t xml:space="preserve">water connection: Cleaning Tank → Drain Collection Sump · 45 m3/h</t>
  </si>
  <si>
    <t xml:space="preserve">24.5 m; 5 m³; 1.7 m</t>
  </si>
  <si>
    <t xml:space="preserve">£36/m; × 24.5; install</t>
  </si>
  <si>
    <t xml:space="preserve">pipe £36/m @ DN32 (HDPE/PVC-U) × 24.5 m + 2 ends · sized 5 m³/h @ 1.7 m/s · bleed/drain duty (~make-up balance) · installed cost — supply + installation labour + terminations included (uk-2026 supply+install model; not a bare-fittings/component price)</t>
  </si>
  <si>
    <t xml:space="preserve">DN32 HDPE/PVC-U pipe, 24.5 m</t>
  </si>
  <si>
    <t xml:space="preserve">C31</t>
  </si>
  <si>
    <t xml:space="preserve">water connection: Fresh Water Tank → Nutrient Tank · —</t>
  </si>
  <si>
    <t xml:space="preserve">3.9 m; 5 m³; 1.7 m</t>
  </si>
  <si>
    <t xml:space="preserve">£36/m; × 3.9; 0.4%; install</t>
  </si>
  <si>
    <t xml:space="preserve">pipe £36/m @ DN32 (HDPE/PVC-U) × 3.9 m + 2 ends · sized 5 m³/h @ 1.7 m/s · make-up water duty (~0.4% of recirc) · installed cost — supply + installation labour + terminations included (uk-2026 supply+install model; not a bare-fittings/component price)</t>
  </si>
  <si>
    <t xml:space="preserve">DN32 HDPE/PVC-U pipe, 3.9 m</t>
  </si>
  <si>
    <t xml:space="preserve">C32</t>
  </si>
  <si>
    <t xml:space="preserve">water connection: Fresh Water Tank → Permeate Outlet · 90 m3/h</t>
  </si>
  <si>
    <t xml:space="preserve">24.7 m; 5 m³; 1.7 m; 45 m³</t>
  </si>
  <si>
    <t xml:space="preserve">£36/m; × 24.7; 0.4%; × 2; install</t>
  </si>
  <si>
    <t xml:space="preserve">pipe £36/m @ DN32 (HDPE/PVC-U) × 24.7 m + 2 ends · sized 5 m³/h @ 1.7 m/s · make-up water duty (~0.4% of recirc) · installed cost — supply + installation labour + terminations included (uk-2026 supply+install model; not a bare-fittings/component price) · demand-sized: peak irrigation demand = 45 m³/h per department × 2 departments</t>
  </si>
  <si>
    <t xml:space="preserve">DN32 HDPE/PVC-U pipe, 24.7 m</t>
  </si>
  <si>
    <t xml:space="preserve">C33</t>
  </si>
  <si>
    <t xml:space="preserve">water connection: Fresh Water Tank → Drain Collection Sump · 45 m3/h</t>
  </si>
  <si>
    <t xml:space="preserve">27.2 m; 5 m³; 1.7 m</t>
  </si>
  <si>
    <t xml:space="preserve">£36/m; × 27.2; 0.4%; install</t>
  </si>
  <si>
    <t xml:space="preserve">pipe £36/m @ DN32 (HDPE/PVC-U) × 27.2 m + 2 ends · sized 5 m³/h @ 1.7 m/s · make-up water duty (~0.4% of recirc) · installed cost — supply + installation labour + terminations included (uk-2026 supply+install model; not a bare-fittings/component price)</t>
  </si>
  <si>
    <t xml:space="preserve">DN32 HDPE/PVC-U pipe, 27.2 m</t>
  </si>
  <si>
    <t xml:space="preserve">C34</t>
  </si>
  <si>
    <t xml:space="preserve">water connection: Fresh Water Tank → Drain Transfer Pump · 45 m3/h</t>
  </si>
  <si>
    <t xml:space="preserve">36.5 m; 5 m³; 1.7 m</t>
  </si>
  <si>
    <t xml:space="preserve">£36/m; × 36.5; 0.4%; install</t>
  </si>
  <si>
    <t xml:space="preserve">pipe £36/m @ DN32 (HDPE/PVC-U) × 36.5 m + 2 ends · sized 5 m³/h @ 1.7 m/s · make-up water duty (~0.4% of recirc) · installed cost — supply + installation labour + terminations included (uk-2026 supply+install model; not a bare-fittings/component price)</t>
  </si>
  <si>
    <t xml:space="preserve">DN32 HDPE/PVC-U pipe, 36.5 m</t>
  </si>
  <si>
    <t xml:space="preserve">C35</t>
  </si>
  <si>
    <t xml:space="preserve">water connection: Fresh Water Tank → Drain Water Tank · —</t>
  </si>
  <si>
    <t xml:space="preserve">20.0 m; 5 m³; 1.7 m</t>
  </si>
  <si>
    <t xml:space="preserve">£36/m; × 20.0; 0.4%; install</t>
  </si>
  <si>
    <t xml:space="preserve">pipe £36/m @ DN32 (HDPE/PVC-U) × 20.0 m + 2 ends · sized 5 m³/h @ 1.7 m/s · make-up water duty (~0.4% of recirc) · installed cost — supply + installation labour + terminations included (uk-2026 supply+install model; not a bare-fittings/component price)</t>
  </si>
  <si>
    <t xml:space="preserve">DN32 HDPE/PVC-U pipe, 20.0 m</t>
  </si>
  <si>
    <t xml:space="preserve">C36</t>
  </si>
  <si>
    <t xml:space="preserve">water connection: Fertigation Dosing Pump → Hand Watering Pump · 25 m3/h</t>
  </si>
  <si>
    <t xml:space="preserve">pipe £28/m @ DN20 (HDPE/</t>
  </si>
  <si>
    <t xml:space="preserve">29.6 m; 2 m³; 1.8 m</t>
  </si>
  <si>
    <t xml:space="preserve">£28/m; × 29.6; install</t>
  </si>
  <si>
    <t xml:space="preserve">pipe £28/m @ DN20 (HDPE/PVC-U) × 29.6 m + 2 ends · sized 2 m³/h @ 1.8 m/s · chemical-dosing branch duty · installed cost — supply + installation labour + terminations included (uk-2026 supply+install model; not a bare-fittings/component price)</t>
  </si>
  <si>
    <t xml:space="preserve">DN20 HDPE/PVC-U pipe, 29.6 m</t>
  </si>
  <si>
    <t xml:space="preserve">C37</t>
  </si>
  <si>
    <t xml:space="preserve">water connection: Fertigation Dosing Pump → Drain Collection Sump · 45 m3/h</t>
  </si>
  <si>
    <t xml:space="preserve">19.4 m; 5 m³; 1.7 m</t>
  </si>
  <si>
    <t xml:space="preserve">£36/m; × 19.4; install</t>
  </si>
  <si>
    <t xml:space="preserve">pipe £36/m @ DN32 (HDPE/PVC-U) × 19.4 m + 2 ends · sized 5 m³/h @ 1.7 m/s · bleed/drain duty (~make-up balance) · installed cost — supply + installation labour + terminations included (uk-2026 supply+install model; not a bare-fittings/component price)</t>
  </si>
  <si>
    <t xml:space="preserve">DN32 HDPE/PVC-U pipe, 19.4 m</t>
  </si>
  <si>
    <t xml:space="preserve">C38</t>
  </si>
  <si>
    <t xml:space="preserve">water connection: Hand Watering Pump → Irrigation Pump · 90 m3/h</t>
  </si>
  <si>
    <t xml:space="preserve">6.5 m; 25 m³; 1.4 m; 45 m³</t>
  </si>
  <si>
    <t xml:space="preserve">£66/m; × 6.5; × 2; install</t>
  </si>
  <si>
    <t xml:space="preserve">pipe £66/m @ DN80 (HDPE/PVC-U) × 6.5 m + 2 ends · sized 25 m³/h @ 1.4 m/s · branch duty (default — endpoint not on main loop) · installed cost — supply + installation labour + terminations included (uk-2026 supply+install model; not a bare-fittings/component price) · demand-sized: peak irrigation demand = 45 m³/h per department × 2 departments</t>
  </si>
  <si>
    <t xml:space="preserve">DN80 HDPE/PVC-U pipe, 6.5 m</t>
  </si>
  <si>
    <t xml:space="preserve">C39</t>
  </si>
  <si>
    <t xml:space="preserve">water connection: Hand Watering Pump → Drain Collection Sump · 45 m3/h</t>
  </si>
  <si>
    <t xml:space="preserve">33.5 m; 5 m³; 1.7 m</t>
  </si>
  <si>
    <t xml:space="preserve">£36/m; × 33.5; install</t>
  </si>
  <si>
    <t xml:space="preserve">pipe £36/m @ DN32 (HDPE/PVC-U) × 33.5 m + 2 ends · sized 5 m³/h @ 1.7 m/s · bleed/drain duty (~make-up balance) · installed cost — supply + installation labour + terminations included (uk-2026 supply+install model; not a bare-fittings/component price)</t>
  </si>
  <si>
    <t xml:space="preserve">DN32 HDPE/PVC-U pipe, 33.5 m</t>
  </si>
  <si>
    <t xml:space="preserve">C40</t>
  </si>
  <si>
    <t xml:space="preserve">water connection: Irrigation Pump → Distribution Manifold · 45 m3/h</t>
  </si>
  <si>
    <t xml:space="preserve">pipe £104/m @ DN125 (HDP</t>
  </si>
  <si>
    <t xml:space="preserve">1.9 m; 60 m³; 1.4 m</t>
  </si>
  <si>
    <t xml:space="preserve">£104/m; × 1.9; install</t>
  </si>
  <si>
    <t xml:space="preserve">pipe £104/m @ DN125 (HDPE/PVC-U) × 1.9 m + 2 ends · sized 60 m³/h @ 1.4 m/s · distribution/header branch duty · installed cost — supply + installation labour + terminations included (uk-2026 supply+install model; not a bare-fittings/component price)</t>
  </si>
  <si>
    <t xml:space="preserve">DN125 HDPE/PVC-U pipe, 1.9 m</t>
  </si>
  <si>
    <t xml:space="preserve">C41</t>
  </si>
  <si>
    <t xml:space="preserve">water connection: Irrigation Pump → Drain Collection Sump · 45 m3/h</t>
  </si>
  <si>
    <t xml:space="preserve">31.1 m; 5 m³; 1.7 m</t>
  </si>
  <si>
    <t xml:space="preserve">£36/m; × 31.1; install</t>
  </si>
  <si>
    <t xml:space="preserve">pipe £36/m @ DN32 (HDPE/PVC-U) × 31.1 m + 2 ends · sized 5 m³/h @ 1.7 m/s · bleed/drain duty (~make-up balance) · installed cost — supply + installation labour + terminations included (uk-2026 supply+install model; not a bare-fittings/component price)</t>
  </si>
  <si>
    <t xml:space="preserve">DN32 HDPE/PVC-U pipe, 31.1 m</t>
  </si>
  <si>
    <t xml:space="preserve">C42</t>
  </si>
  <si>
    <t xml:space="preserve">electrical connection: Mains Incomer → Standby Diesel Generator · 4.2 A</t>
  </si>
  <si>
    <t xml:space="preserve">cable £3/m</t>
  </si>
  <si>
    <t xml:space="preserve">1.5 mm</t>
  </si>
  <si>
    <t xml:space="preserve">£3/m·conductor; × 1; ×1; £6/end; × 2; install</t>
  </si>
  <si>
    <t xml:space="preserve">Cu conductor, LSZH/XLPE insulated (BS 6724/BS 5467 class)</t>
  </si>
  <si>
    <t xml:space="preserve">cable £3/m·conductor @ 1.5 mm² × 1 conductor(s) (1∥×1 core) + £6/end-lug × 2 ends · installed cost — supply + installation labour + terminations included (uk-2026 supply+install model; not a bare-fittings/component price)</t>
  </si>
  <si>
    <t xml:space="preserve">1 × 1.5 mm² Cu, 10.2 m</t>
  </si>
  <si>
    <t xml:space="preserve">C43</t>
  </si>
  <si>
    <t xml:space="preserve">electrical connection: Standby Diesel Generator → Transformer · 4.2 A</t>
  </si>
  <si>
    <t xml:space="preserve">1 × 1.5 mm² Cu, 8.4 m</t>
  </si>
  <si>
    <t xml:space="preserve">C44</t>
  </si>
  <si>
    <t xml:space="preserve">electrical connection: Transformer → Main Switchboard · 4.2 A</t>
  </si>
  <si>
    <t xml:space="preserve">1 × 1.5 mm² Cu, 5.9 m</t>
  </si>
  <si>
    <t xml:space="preserve">C45</t>
  </si>
  <si>
    <t xml:space="preserve">electrical connection: Main Switchboard → Motor Control Center · 4.2 A</t>
  </si>
  <si>
    <t xml:space="preserve">1 × 1.5 mm² Cu, 20.0 m</t>
  </si>
  <si>
    <t xml:space="preserve">C46</t>
  </si>
  <si>
    <t xml:space="preserve">electrical connection: Motor Control Center → 3 Phase Power Input · 4.2 A</t>
  </si>
  <si>
    <t xml:space="preserve">1 × 1.5 mm² Cu, 5.7 m</t>
  </si>
  <si>
    <t xml:space="preserve">C47</t>
  </si>
  <si>
    <t xml:space="preserve">electrical connection: Motor Control Center → Piping Network · 4.2 A</t>
  </si>
  <si>
    <t xml:space="preserve">1 × 1.5 mm² Cu, 25.8 m</t>
  </si>
  <si>
    <t xml:space="preserve">C48</t>
  </si>
  <si>
    <t xml:space="preserve">electrical connection: Motor Control Center → Uv Disinfection · 8.2 A</t>
  </si>
  <si>
    <t xml:space="preserve">1 × 1.5 mm² Cu, 24.9 m</t>
  </si>
  <si>
    <t xml:space="preserve">C49</t>
  </si>
  <si>
    <t xml:space="preserve">electrical connection: Motor Control Center → Fertigation Dosing Pump · 15 A</t>
  </si>
  <si>
    <t xml:space="preserve">1 × 1.5 mm² Cu, 23.7 m</t>
  </si>
  <si>
    <t xml:space="preserve">C50</t>
  </si>
  <si>
    <t xml:space="preserve">electrical connection: Motor Control Center → Hand Watering Pump · 4.2 A</t>
  </si>
  <si>
    <t xml:space="preserve">1 × 1.5 mm² Cu, 31.2 m</t>
  </si>
  <si>
    <t xml:space="preserve">C51</t>
  </si>
  <si>
    <t xml:space="preserve">electrical connection: Motor Control Center → Drain Transfer Pump · 3.9 A</t>
  </si>
  <si>
    <t xml:space="preserve">1 × 1.5 mm² Cu, 27.3 m</t>
  </si>
  <si>
    <t xml:space="preserve">C52</t>
  </si>
  <si>
    <t xml:space="preserve">electrical connection: Motor Control Center → Cloth Filter · 4.2 A</t>
  </si>
  <si>
    <t xml:space="preserve">1 × 1.5 mm² Cu, 21.2 m</t>
  </si>
  <si>
    <t xml:space="preserve">C53</t>
  </si>
  <si>
    <t xml:space="preserve">electrical connection: Motor Control Center → Irrigation Pump · 4.2 A</t>
  </si>
  <si>
    <t xml:space="preserve">1 × 1.5 mm² Cu, 28.0 m</t>
  </si>
  <si>
    <t xml:space="preserve">C54</t>
  </si>
  <si>
    <t xml:space="preserve">electrical connection: Motor Control Center → Ro High Pressure Pump · 8.4 A</t>
  </si>
  <si>
    <t xml:space="preserve">1 × 1.5 mm² Cu, 32.4 m</t>
  </si>
  <si>
    <t xml:space="preserve">C55</t>
  </si>
  <si>
    <t xml:space="preserve">electrical connection: Motor Control Center → Gac Filter · 4.2 A</t>
  </si>
  <si>
    <t xml:space="preserve">1 × 1.5 mm² Cu, 33.7 m</t>
  </si>
  <si>
    <t xml:space="preserve">C56</t>
  </si>
  <si>
    <t xml:space="preserve">electrical connection: Motor Control Center → Permeate Outlet · 4.2 A</t>
  </si>
  <si>
    <t xml:space="preserve">1 × 1.5 mm² Cu, 10.5 m</t>
  </si>
  <si>
    <t xml:space="preserve">C57</t>
  </si>
  <si>
    <t xml:space="preserve">electrical connection: Motor Control Center → Concentrate Outlet · 4.2 A</t>
  </si>
  <si>
    <t xml:space="preserve">1 × 1.5 mm² Cu, 7.5 m</t>
  </si>
  <si>
    <t xml:space="preserve">C58</t>
  </si>
  <si>
    <t xml:space="preserve">water connection: Ultrafiltration Module → Fresh Water Tank · 1.35 m3/h</t>
  </si>
  <si>
    <t xml:space="preserve">£36/m; × 20.6; 0.4%; install</t>
  </si>
  <si>
    <t xml:space="preserve">pipe £36/m @ DN32 (HDPE/PVC-U) × 20.6 m + 2 ends · sized 5 m³/h @ 1.7 m/s · make-up water duty (~0.4% of recirc) · installed cost — supply + installation labour + terminations included (uk-2026 supply+install model; not a bare-fittings/component price)</t>
  </si>
  <si>
    <t xml:space="preserve">C59</t>
  </si>
  <si>
    <t xml:space="preserve">water connection: Permeate Outlet → Cip Tank · 4 m3/h</t>
  </si>
  <si>
    <t xml:space="preserve">45.0 m; 25 m³; 1.4 m</t>
  </si>
  <si>
    <t xml:space="preserve">£66/m; × 45.0; install</t>
  </si>
  <si>
    <t xml:space="preserve">pipe £66/m @ DN80 (HDPE/PVC-U) × 45.0 m + 2 ends · sized 25 m³/h @ 1.4 m/s · branch duty (default — endpoint not on main loop) · installed cost — supply + installation labour + terminations included (uk-2026 supply+install model; not a bare-fittings/component price)</t>
  </si>
  <si>
    <t xml:space="preserve">DN80 HDPE/PVC-U pipe, 45.0 m</t>
  </si>
  <si>
    <t xml:space="preserve">C60</t>
  </si>
  <si>
    <t xml:space="preserve">water connection: Permeate Outlet → Ultrafiltration Module · 8 m3/h</t>
  </si>
  <si>
    <t xml:space="preserve">21.2 m; 25 m³; 1.4 m</t>
  </si>
  <si>
    <t xml:space="preserve">£66/m; × 21.2; install</t>
  </si>
  <si>
    <t xml:space="preserve">pipe £66/m @ DN80 (HDPE/PVC-U) × 21.2 m + 2 ends · sized 25 m³/h @ 1.4 m/s · branch duty (default — endpoint not on main loop) · installed cost — supply + installation labour + terminations included (uk-2026 supply+install model; not a bare-fittings/component price)</t>
  </si>
  <si>
    <t xml:space="preserve">DN80 HDPE/PVC-U pipe, 21.2 m</t>
  </si>
  <si>
    <t xml:space="preserve">C61</t>
  </si>
  <si>
    <t xml:space="preserve">water connection: Softener Vessel → Drain Collection Sump · 45 m3/h</t>
  </si>
  <si>
    <t xml:space="preserve">7.5 m; 5 m³; 1.7 m</t>
  </si>
  <si>
    <t xml:space="preserve">£36/m; × 7.5; install</t>
  </si>
  <si>
    <t xml:space="preserve">pipe £36/m @ DN32 (HDPE/PVC-U) × 7.5 m + 2 ends · sized 5 m³/h @ 1.7 m/s · bleed/drain duty (~make-up balance) · installed cost — supply + installation labour + terminations included (uk-2026 supply+install model; not a bare-fittings/component price)</t>
  </si>
  <si>
    <t xml:space="preserve">DN32 HDPE/PVC-U pipe, 7.5 m</t>
  </si>
  <si>
    <t xml:space="preserve">C62</t>
  </si>
  <si>
    <t xml:space="preserve">water connection: Nutrient Tank → Drain Collection Sump · 45 m3/h</t>
  </si>
  <si>
    <t xml:space="preserve">31.6 m; 5 m³; 1.7 m</t>
  </si>
  <si>
    <t xml:space="preserve">£36/m; × 31.6; install</t>
  </si>
  <si>
    <t xml:space="preserve">pipe £36/m @ DN32 (HDPE/PVC-U) × 31.6 m + 2 ends · sized 5 m³/h @ 1.7 m/s · bleed/drain duty (~make-up balance) · installed cost — supply + installation labour + terminations included (uk-2026 supply+install model; not a bare-fittings/component price)</t>
  </si>
  <si>
    <t xml:space="preserve">DN32 HDPE/PVC-U pipe, 31.6 m</t>
  </si>
  <si>
    <t xml:space="preserve">C63</t>
  </si>
  <si>
    <t xml:space="preserve">water connection: Distribution Manifold → Drain Collection Sump · 45 m3/h</t>
  </si>
  <si>
    <t xml:space="preserve">32.6 m; 5 m³; 1.7 m</t>
  </si>
  <si>
    <t xml:space="preserve">£36/m; × 32.6; install</t>
  </si>
  <si>
    <t xml:space="preserve">pipe £36/m @ DN32 (HDPE/PVC-U) × 32.6 m + 2 ends · sized 5 m³/h @ 1.7 m/s · bleed/drain duty (~make-up balance) · installed cost — supply + installation labour + terminations included (uk-2026 supply+install model; not a bare-fittings/component price)</t>
  </si>
  <si>
    <t xml:space="preserve">DN32 HDPE/PVC-U pipe, 32.6 m</t>
  </si>
  <si>
    <t xml:space="preserve">C64</t>
  </si>
  <si>
    <t xml:space="preserve">water connection: Reverse Osmosis Skid → Drain Collection Sump · 45 m3/h</t>
  </si>
  <si>
    <t xml:space="preserve">11.8 m; 5 m³; 1.7 m</t>
  </si>
  <si>
    <t xml:space="preserve">£36/m; × 11.8; install</t>
  </si>
  <si>
    <t xml:space="preserve">pipe £36/m @ DN32 (HDPE/PVC-U) × 11.8 m + 2 ends · sized 5 m³/h @ 1.7 m/s · bleed/drain duty (~make-up balance) · installed cost — supply + installation labour + terminations included (uk-2026 supply+install model; not a bare-fittings/component price)</t>
  </si>
  <si>
    <t xml:space="preserve">DN32 HDPE/PVC-U pipe, 11.8 m</t>
  </si>
  <si>
    <t xml:space="preserve">C65</t>
  </si>
  <si>
    <t xml:space="preserve">electrical connection: Motor Control Center → Electrical Control Panel · 4.2 A</t>
  </si>
  <si>
    <t xml:space="preserve">1 × 1.5 mm² Cu, 3.6 m</t>
  </si>
  <si>
    <t xml:space="preserve">C66</t>
  </si>
  <si>
    <t xml:space="preserve">electrical connection: Electrical Control Panel → Digital Control Panel · 0.5 A</t>
  </si>
  <si>
    <t xml:space="preserve">1 × 1.5 mm² Cu, 2.9 m</t>
  </si>
  <si>
    <t xml:space="preserve">C67</t>
  </si>
  <si>
    <t xml:space="preserve">electrical connection: Motor Control Center → Control + Instrument UPS · 4.2 A</t>
  </si>
  <si>
    <t xml:space="preserve">C68</t>
  </si>
  <si>
    <t xml:space="preserve">electrical connection: Control + Instrument UPS → Digital Control Panel · 0.5 A</t>
  </si>
  <si>
    <t xml:space="preserve">1 × 1.5 mm² Cu, 2.5 m</t>
  </si>
  <si>
    <t xml:space="preserve">C69</t>
  </si>
  <si>
    <t xml:space="preserve">electrical connection: Motor Control Center → SCADA / Plant Control System · 4.2 A</t>
  </si>
  <si>
    <t xml:space="preserve">C70</t>
  </si>
  <si>
    <t xml:space="preserve">electrical connection: Motor Control Center → Digital Control Panel · 0.5 A</t>
  </si>
  <si>
    <t xml:space="preserve">1 × 1.5 mm² Cu, 3.5 m</t>
  </si>
  <si>
    <t xml:space="preserve">C71</t>
  </si>
  <si>
    <t xml:space="preserve">electrical connection: Piping Network → Digital Control Panel · 0.5 A</t>
  </si>
  <si>
    <t xml:space="preserve">1 × 1.5 mm² Cu, 27.0 m</t>
  </si>
  <si>
    <t xml:space="preserve">C72</t>
  </si>
  <si>
    <t xml:space="preserve">electrical connection: Motor Control Center → Electrical Control Cabinet · 4.2 A</t>
  </si>
  <si>
    <t xml:space="preserve">C73</t>
  </si>
  <si>
    <t xml:space="preserve">electrical connection: Electrical Control Cabinet → Digital Control Panel · 0.5 A</t>
  </si>
  <si>
    <t xml:space="preserve">1 × 1.5 mm² Cu, 27.9 m</t>
  </si>
  <si>
    <t xml:space="preserve">C74</t>
  </si>
  <si>
    <t xml:space="preserve">electrical connection: Motor Control Center → Digital Control Panel · —</t>
  </si>
  <si>
    <t xml:space="preserve">power feeder, 3.8 m (design current unknown)</t>
  </si>
  <si>
    <t xml:space="preserve">214 m; 7.7 m; 30 m; 45 m³; 1.3 m; 90 m³</t>
  </si>
  <si>
    <t xml:space="preserve">£20.8/m; 20%; £104/m; × 7.7; × 30; × 5; install; parametri</t>
  </si>
  <si>
    <t xml:space="preserve">Zoned distribution — department delivery mains · DN125 PVC-U · 214 m</t>
  </si>
  <si>
    <t xml:space="preserve">PVC-U (thermoplastic pressure pipework, solvent-weld)</t>
  </si>
  <si>
    <t xml:space="preserve">parametric estimate — zoned-delivery distribution network (engineered allowance, NOT per-pipe routed; client distribution-section scope): 214 m × £20.8/m supply-only materials (20% of the uk-2026 supply+install £104/m @ DN125; installation labour is carried by the cost-stack field-install factors — no double count) · length-priced: qty = the run length in metres, unit = £/m · derivation: parametric — not routed (zoned-delivery distribution network, engineered allowance): delivery mains (department spines) = 2 group(s) × (10 branches × 7.7 m branch pitch + 30 m plant-room stand-off) = 214 m; DN125 at 45 m³/h ≤ 1.3 m/s (surge-limited delivery main on a cycling valve network)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</si>
  <si>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DN125 PVC-U pressure pipe + fittings + hangers, 214 m (supply)</t>
  </si>
  <si>
    <t xml:space="preserve">X-152</t>
  </si>
  <si>
    <t xml:space="preserve">280 m; 7 m; 1.3 m; 0.5 m; 45 m³; 90 m³</t>
  </si>
  <si>
    <t xml:space="preserve">£20.8/m; 20%; £104/m; × 7; × 1.3; × 30; × 5; install; para</t>
  </si>
  <si>
    <t xml:space="preserve">Zoned distribution — delivery risers · DN125 PVC-U · 280 m</t>
  </si>
  <si>
    <t xml:space="preserve">parametric estimate — zoned-delivery distribution network (engineered allowance, NOT per-pipe routed; client distribution-section scope): 280 m × £20.8/m supply-only materials (20% of the uk-2026 supply+install £104/m @ DN125; installation labour is carried by the cost-stack field-install factors — no double count) · length-priced: qty = the run length in metres, unit = £/m · derivation: parametric — not routed (zoned-delivery distribution network, engineered allowance): delivery risers = 40 risers (200 zones ÷ 5 levels) × 7 m (5 levels × 1.3 m tier pitch + 0.5 m) = 280 m; DN125 at 45 m³/h ≤ 1.3 m/s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</si>
  <si>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DN125 PVC-U pressure pipe + fittings + hangers, 280 m (supply)</t>
  </si>
  <si>
    <t xml:space="preserve">X-153</t>
  </si>
  <si>
    <t xml:space="preserve">8,280 m; 2.76 m; 41.4 m; 8280 m; 45 m³; 3.0 m; 90 m³</t>
  </si>
  <si>
    <t xml:space="preserve">£13.2/m; 20%; £66/m; × 2.76; × 41.4; × 30; × 5; install; p</t>
  </si>
  <si>
    <t xml:space="preserve">Zoned distribution — zone laterals (flood-fill lines) · DN75 PVC-U · 8,280 m</t>
  </si>
  <si>
    <t xml:space="preserve">parametric estimate — zoned-delivery distribution network (engineered allowance, NOT per-pipe routed; client distribution-section scope): 8,280 m × £13.2/m supply-only materials (20% of the uk-2026 supply+install £66/m @ DN75; installation labour is carried by the cost-stack field-install factors — no double count) · length-priced: qty = the run length in metres, unit = £/m · derivation: parametric — not routed (zoned-delivery distribution network, engineered allowance): zone laterals = 200 zones × (30 positions/zone ÷ 2 rows × 2.76 m position pitch) = 200 × 41.4 m = 8280 m; DN75 at the 45 m³/h open-zone flood-fill duty ≤ 3.0 m/s (short-duration fill)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</si>
  <si>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DN75 PVC-U pressure pipe + fittings + hangers, 8,280 m (supply)</t>
  </si>
  <si>
    <t xml:space="preserve">X-154</t>
  </si>
  <si>
    <t xml:space="preserve">4,200 m; 7 m; 4200 m; 45 m³; 1.4 m; 90 m³</t>
  </si>
  <si>
    <t xml:space="preserve">£20.8/m; 20%; £104/m; × 7; × 30; × 5; install; parametric</t>
  </si>
  <si>
    <t xml:space="preserve">Zoned distribution — drain/return risers (gravity) · DN110 PVC-U · 4,200 m</t>
  </si>
  <si>
    <t xml:space="preserve">parametric estimate — zoned-delivery distribution network (engineered allowance, NOT per-pipe routed; client distribution-section scope): 4,200 m × £20.8/m supply-only materials (20% of the uk-2026 supply+install £104/m @ DN110; installation labour is carried by the cost-stack field-install factors — no double count) · length-priced: qty = the run length in metres, unit = £/m · derivation: parametric — not routed (zoned-delivery distribution network, engineered allowance): drain/return risers (mirror of the delivery grid) = 600 gravity drops (an outlet per 2 positions per level) × 7 m = 4200 m; DN110 gravity at 45 m³/h ≤ 1.4 m/s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</si>
  <si>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DN110 PVC-U pressure pipe + fittings + hangers, 4,200 m (supply)</t>
  </si>
  <si>
    <t xml:space="preserve">X-155</t>
  </si>
  <si>
    <t xml:space="preserve">1,656 m; 41.4 m; 1656 m; 1.4 m; 45 m³; 90 m³</t>
  </si>
  <si>
    <t xml:space="preserve">£20.8/m; 20%; £104/m; × 41.4; × 20; × 30; × 5; install; pa</t>
  </si>
  <si>
    <t xml:space="preserve">Zoned distribution — drain collection lines · DN110 PVC-U · 1,656 m</t>
  </si>
  <si>
    <t xml:space="preserve">parametric estimate — zoned-delivery distribution network (engineered allowance, NOT per-pipe routed; client distribution-section scope): 1,656 m × £20.8/m supply-only materials (20% of the uk-2026 supply+install £104/m @ DN110; installation labour is carried by the cost-stack field-install factors — no double count) · length-priced: qty = the run length in metres, unit = £/m · derivation: parametric — not routed (zoned-delivery distribution network, engineered allowance): drain collection lines = 2 floor lines/branch × 41.4 m × 20 branches = 1656 m; DN110 gravity ≤ 1.4 m/s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</si>
  <si>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DN110 PVC-U pressure pipe + fittings + hangers, 1,656 m (supply)</t>
  </si>
  <si>
    <t xml:space="preserve">X-156</t>
  </si>
  <si>
    <t xml:space="preserve">214 m; 45 m³; 0.8 m; 90 m³</t>
  </si>
  <si>
    <t xml:space="preserve">£35.2/m; 20%; £176/m; × 30; × 5; install; parametric</t>
  </si>
  <si>
    <t xml:space="preserve">Zoned distribution — main drain headers · DN160 PVC-U · 214 m</t>
  </si>
  <si>
    <t xml:space="preserve">parametric estimate — zoned-delivery distribution network (engineered allowance, NOT per-pipe routed; client distribution-section scope): 214 m × £35.2/m supply-only materials (20% of the uk-2026 supply+install £176/m @ DN160; installation labour is carried by the cost-stack field-install factors — no double count) · length-priced: qty = the run length in metres, unit = £/m · derivation: parametric — not routed (zoned-delivery distribution network, engineered allowance): main drain headers = the delivery-spine mirror (214 m); DN160 at 45 m³/h ≤ 0.8 m/s part-full gravity equivalent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</si>
  <si>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DN160 PVC-U pressure pipe + fittings + hangers, 214 m (supply)</t>
  </si>
  <si>
    <t xml:space="preserve">428 m; 107 m; 45 m³; 90 m³</t>
  </si>
  <si>
    <t xml:space="preserve">£16.4/m; 20%; £82/m; × 2; × 30; × 5; install; parametric</t>
  </si>
  <si>
    <t xml:space="preserve">Hand watering — ring main to both departments · DN90 PVC-U · 428 m</t>
  </si>
  <si>
    <t xml:space="preserve">parametric estimate — client section E scope (hand-watering ring main — engineered allowance, NOT per-pipe routed): 428 m × £16.4/m supply-only materials (20% of the uk-2026 supply+install £82/m @ DN90; installation labour is carried by the cost-stack field-install factors — no double count) · length-priced: qty = the run length in metres, unit = £/m · derivation: parametric — not routed (zoned-delivery distribution network, engineered allowance): hand-watering ring main = 2 delivery group(s)/department(s) × 2 legs (ring out-and-return along the 107 m delivery spine, serving every branch head) = 428 m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</si>
  <si>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DN90 PVC-U pressure pipe + fittings + hangers, 428 m (supply)</t>
  </si>
  <si>
    <t xml:space="preserve">X-158</t>
  </si>
  <si>
    <t xml:space="preserve">parametric estimate (no itemised inputs)</t>
  </si>
  <si>
    <t xml:space="preserve">Zoned distribution — delivery inlet stubs, one per served position · 6,000 off</t>
  </si>
  <si>
    <t xml:space="preserve">parametric estimate — zoned-delivery distribution network: 6,000 served positions × £6 inlet-stub materials allowance (tee + stub + inlet fitting, ex-works) · parametric — not routed (zoned-delivery distribution network, engineered allowance): one delivery inlet stub + fitting per served position = 6000</t>
  </si>
  <si>
    <t xml:space="preserve">Small-bore PVC-U tee + stub + inlet fitting (supply)</t>
  </si>
  <si>
    <t xml:space="preserve">X-159</t>
  </si>
  <si>
    <t xml:space="preserve">Zoned distribution — drain outlet connections (one per 2 positions) · 3,000 off</t>
  </si>
  <si>
    <t xml:space="preserve">parametric estimate — zoned-delivery distribution network: 3,000 drain outlets × £9 gravity tee/branch materials allowance (ex-works) · parametric — not routed (zoned-delivery distribution network, engineered allowance): one gravity drain outlet per 2 served positions = 3000</t>
  </si>
  <si>
    <t xml:space="preserve">PVC-U gravity tee/branch outlet fitting (supply)</t>
  </si>
  <si>
    <t xml:space="preserve">V-112</t>
  </si>
  <si>
    <t xml:space="preserve">Zoned distribution — zone valve connection kits · 200 off</t>
  </si>
  <si>
    <t xml:space="preserve">parametric estimate — zoned-delivery distribution network: 200 valve zones × £40 connection-kit materials allowance; the actuated valve assemblies themselves are priced on their own BoM line (assembly family £/DN) — this kit is the pipework tie-in only, no double count · parametric — not routed (zoned-delivery distribution network, engineered allowance): one zone connection kit (valve stub-in, unions, supports) per sectioning valve = 200</t>
  </si>
  <si>
    <t xml:space="preserve">Zone valve stub-in: unions, supports, riser tie-in (supply; valve body + actuator priced on the actuated-valve assembly line)</t>
  </si>
  <si>
    <t xml:space="preserve">V-113</t>
  </si>
  <si>
    <t xml:space="preserve">× 20; install; parametric</t>
  </si>
  <si>
    <t xml:space="preserve">Hand watering — tap/hose stations (riser, hand valve + quick connector) · 44 off</t>
  </si>
  <si>
    <t xml:space="preserve">parametric estimate — client section E scope (hand-watering ring main — engineered allowance, NOT per-pipe routed): 44 tap/hose stations × £45 per-station materials allowance (brass hand valve ~£14 + quick-release hose coupler ~£9 + ring-main tee, riser stub + clamps ~£22, ex-works; installation labour is carried by the cost-stack field-install factors — no double count) · parametric — not routed (zoned-delivery distribution network, engineered allowance): hand-watering tap risers (each a hand valve + quick connector) = 2 per branch × 20 branches + 2 per delivery group at the plant/irrigation room (4) = 44</t>
  </si>
  <si>
    <t xml:space="preserve">Ring-main riser stub-in: brass hand valve, quick-release hose coupler, tee + clamps (supply)</t>
  </si>
  <si>
    <t xml:space="preserve">Σ TOTAL</t>
  </si>
  <si>
    <t xml:space="preserve">Coverage by drawing (parts-ledger.json)</t>
  </si>
  <si>
    <t xml:space="preserve">Drawing</t>
  </si>
  <si>
    <t xml:space="preserve">Expected</t>
  </si>
  <si>
    <t xml:space="preserve">Present</t>
  </si>
  <si>
    <t xml:space="preserve">% present</t>
  </si>
  <si>
    <t xml:space="preserve">blender</t>
  </si>
  <si>
    <t xml:space="preserve">general-arrangement</t>
  </si>
  <si>
    <t xml:space="preserve">pid</t>
  </si>
  <si>
    <t xml:space="preserve">single-line-diagram</t>
  </si>
  <si>
    <t xml:space="preserve">panel-schedule</t>
  </si>
  <si>
    <t xml:space="preserve">block-flow-diagram</t>
  </si>
  <si>
    <t xml:space="preserve">process-schedules</t>
  </si>
  <si>
    <t xml:space="preserve">parts-ledger grand_total_gbp</t>
  </si>
  <si>
    <t xml:space="preserve">Compare against the LIVE Σ line £ at row 419. See the ⚠ Checks tab for the reconciliation row.</t>
  </si>
  <si>
    <t xml:space="preserve">Brief — original vs engine-enhanced</t>
  </si>
  <si>
    <t xml:space="preserve">The verbatim client brief (left) and the engine's structured, enhanced interpretation (right) that drives the whole design.</t>
  </si>
  <si>
    <t xml:space="preserve">Original brief (verbatim)</t>
  </si>
  <si>
    <t xml:space="preserve">Engine-enhanced brief (structured)</t>
  </si>
  <si>
    <t xml:space="preserve">Water, Fertigation and Ebb/Flow Irrigation Plant — Indoor Multi-Layer Cultivation Facility</t>
  </si>
  <si>
    <t xml:space="preserve">Product summary</t>
  </si>
  <si>
    <t xml:space="preserve">We are designing and specifying a complete water-handling, purification, fertigation and ebb/flow irrigation plant that supplies a large indoor multi-layer cultivation facility. The deliverable is the WATER SYSTEM ONLY — the purification train, the water storage, the nutrient-dosing (fertigation) units, the flood-and-drain (ebb/flow) distribution network, the drain-water recovery, a hand-watering ring main, and the irrigation/fertigation process-control computer. This is a process and fluid-handling plant: pumps, pipes, tanks, reverse osmosis, filtration, valves and dosing. The grow-lighting, the climate/heating-ventilation/cooling hardware, the cultivation rack framework and the building are NOT part of this plant — they are supplied by others and are explicitly out of scope. This is modelled on a real turnkey supplier offer (a specialist water-systems supplier, 2020) totalling €1,395,019.</t>
  </si>
  <si>
    <t xml:space="preserve">Automated water purification, storage, and nutrient-dosing (fertigation) plant for indoor controlled-environment agriculture.</t>
  </si>
  <si>
    <t xml:space="preserve">Target market: indoor and vertical-farming operators, controlled-environment-agriculture growers, glasshouse and horticulture operators across the United Kingdom and Europe who need a turnkey water-treatment, fertigation and irrigation plant for a multi-layer growing facility.</t>
  </si>
  <si>
    <t xml:space="preserve">System description (the six delivered subsystems):</t>
  </si>
  <si>
    <t xml:space="preserve">Primary product</t>
  </si>
  <si>
    <t xml:space="preserve">A. WATER PURIFICATION — treats incoming potable mains water to the feed quality the growing system needs.</t>
  </si>
  <si>
    <t xml:space="preserve">Precisely dosed nutrient-rich irrigation water (fertigation water)</t>
  </si>
  <si>
    <t xml:space="preserve">​- Reverse-osmosis unit: hourly permeate capacity 8.0 cubic metres per hour, raw-tap-water blending capacity 1.2 to 1.6 cubic metres per hour, recovery factor 75 percent, working pressure 10.6 bar at 15 degrees Celsius feed, minimum inlet pressure 2.1 bar, water supply required at least 10.7 cubic metres per hour, electrical supply 3 by 400 volt plus neutral 50 hertz, total installed 5.5 kilowatts, consumption 4.2 kilowatts; stainless-steel supporting frame with inlet section, pre-filter set, frequency-controlled high-pressure pump, integrated permeate flushing line, a first-water flush, the membranes in high-pressure lines, and a central programmable-logic-controller panel for fully automatic operation. Water-supply connection DN63 polyvinyl-chloride, reject/waste connection DN50, permeate connection DN50.</t>
  </si>
  <si>
    <t xml:space="preserve">​- Particle filter: one 80-micron cleanable particle filter in the inlet line of the carbon filter, distributor with 2-inch connections, transparent housing.</t>
  </si>
  <si>
    <t xml:space="preserve">Construction materials</t>
  </si>
  <si>
    <t xml:space="preserve">​- Granular-activated-carbon filter: nominal filtration capacity 14.5 cubic metres per hour, one 42-inch tank, pressure drop about 0.5 bar, DN80 connections.</t>
  </si>
  <si>
    <t xml:space="preserve">Polyvinyl chloride (PVC) piping, stainless steel frames/pumps, galvanized steel main tanks, FRP pressure vessels, and polyethylene/polyester chemical tanks</t>
  </si>
  <si>
    <t xml:space="preserve">​- Water softener: capacity 14.0 cubic metres per hour, minimum 1.75 cubic metres per hour per softener tank, two glass-fibre-reinforced-plastic softener tanks with food-quality strong-acid cation resin (350 litres of resin per tank), automatic brine regeneration with one polyethylene brine vessel holding 355 kilograms of salt; 91 cubic metres treated between regenerations, 35 to 88 kilograms of salt and 2.8 cubic metres of water per regeneration, hardness reduction to 0.1 degrees of hardness or better, 15 watts in operation.</t>
  </si>
  <si>
    <t xml:space="preserve">​- Raw-tap-water blending line: adjustable valve and flow indicator on the carbon-filter outlet to blend plus or minus 15 percent of the permeate capacity back into the produced water.</t>
  </si>
  <si>
    <t xml:space="preserve">Derived requirements</t>
  </si>
  <si>
    <t xml:space="preserve">​- Connection lines: a DN63 polyvinyl-chloride city-water line to the reverse-osmosis unit (within 50 metres), a DN50 polyvinyl-chloride waste line to the sewer, and a DN63 polyvinyl-chloride fresh-water line from the reverse-osmosis unit to the fresh-water tank (within 50 metres).</t>
  </si>
  <si>
    <t xml:space="preserve">• RO Permeate Production Capacity: 8 m3/h   (stated)</t>
  </si>
  <si>
    <t xml:space="preserve">B. WATER STORAGE — galvanised Class-A storage tanks with wall-protection blanket, a 0.6-millimetre black anti-algae liner and a duplex polyurethane-coated lowest ring, set on concrete tiles.</t>
  </si>
  <si>
    <t xml:space="preserve">• RO Feed Water Demand: 10.7 m3/h   (stated)</t>
  </si>
  <si>
    <t xml:space="preserve">​- One fresh-water tank, 3.64 metres diameter by 3.88 metres high, 40 cubic metres.</t>
  </si>
  <si>
    <t xml:space="preserve">• RO Reject/Waste Flow: 2.7 m3/h   (derived)</t>
  </si>
  <si>
    <t xml:space="preserve">​- Two drain-water tanks, 3.64 metres diameter by 3.88 metres high, 40 cubic metres each.</t>
  </si>
  <si>
    <t xml:space="preserve">• Total Fresh Water Production (Blended): 9.6 m3/h   (derived)</t>
  </si>
  <si>
    <t xml:space="preserve">​- Level monitoring: a 4-channel level processor with one pressure sensor per tank.</t>
  </si>
  <si>
    <t xml:space="preserve">• Total Irrigation Pumping Capacity: 90 m3/h   (derived)</t>
  </si>
  <si>
    <t xml:space="preserve">​- Suction lines: DN110 polyvinyl-chloride from the fresh-water tank to the hand-watering unit; DN160 polyvinyl-chloride suction lines from the fresh-water tank to each of the two fertiliser units and from each drain-water tank to its fertiliser unit; each with a butterfly valve and a bottom connection.</t>
  </si>
  <si>
    <t xml:space="preserve">• Fertigation Delivery Pressure: 3.5 bar   (stated)</t>
  </si>
  <si>
    <t xml:space="preserve">C. FERTILISER (FERTIGATION) UNITS — two A/B nutrient-dosing units, each 45 cubic metres per hour, for the multi-layer ebb/flow system, dosing the A and B fertiliser streams simultaneously by suction. Each unit consists of:</t>
  </si>
  <si>
    <t xml:space="preserve">• Total Water Storage Capacity: 120 m3   (stated)</t>
  </si>
  <si>
    <t xml:space="preserve">​- a stainless-steel frame with adjustable supports;</t>
  </si>
  <si>
    <t xml:space="preserve">• Nutrient Stock Storage Capacity: 8000 L   (derived)</t>
  </si>
  <si>
    <t xml:space="preserve">​- two 125-millimetre Keystone Composeal manual butterfly valves and two 125-millimetre check valves;</t>
  </si>
  <si>
    <t xml:space="preserve">• Minimum Softener Regeneration Cycle Time: 8.5 h   (derived)</t>
  </si>
  <si>
    <t xml:space="preserve">​- one double-action electrically-operated 125-millimetre Keystone Composeal valve for reusing drain water, with an electrical-conductivity supply measuring sensor;</t>
  </si>
  <si>
    <t xml:space="preserve">• Softener Salt Consumption per Regeneration: 88 kg   (stated)</t>
  </si>
  <si>
    <t xml:space="preserve">​- one Lowara e-SHE 50-160/75 circulation pump, 7.5 kilowatts, 45 cubic metres per hour at 3.5 bar, with thermostat and polyvinyl-chloride flanges;</t>
  </si>
  <si>
    <t xml:space="preserve">• Major Equipment Installed Electrical Load: 20.5 kW   (derived)</t>
  </si>
  <si>
    <t xml:space="preserve">​- one 0-to-10-bar pressure sensor for the frequency controller;</t>
  </si>
  <si>
    <t xml:space="preserve">• Particle Filtration Limit: 80 microns   (stated)</t>
  </si>
  <si>
    <t xml:space="preserve">​- an A-B dosing system on the simultaneous-suction principle: a stainless-steel motorised control unit, two polyvinyl-chloride venturi injectors, two flowmeters, two membrane control valves, and two shunt lines on the pump suction/discharge;</t>
  </si>
  <si>
    <t xml:space="preserve">• Hand Watering Capacity: 25 m3/h   (stated)</t>
  </si>
  <si>
    <t xml:space="preserve">​- an electrical-conductivity / pH measuring shunt (110-millimetre, Hoogendoorn): a bypass line with a 25-millimetre tube, two ball valves, and electrical-conductivity and pH sensors;</t>
  </si>
  <si>
    <t xml:space="preserve">​- one acid dosing pump (Iwaki EWN-C21VCER) with a 100-litre barrel, and one chemical dosing pump (Iwaki EWN-C21VHERA) with a 100-litre barrel;</t>
  </si>
  <si>
    <t xml:space="preserve">Operating conditions</t>
  </si>
  <si>
    <t xml:space="preserve">​- one 90-millimetre paddle-wheel flowmeter and one 110-millimetre check valve.</t>
  </si>
  <si>
    <t xml:space="preserve">• ro_feed_water_temperature: 15 C   (stated)</t>
  </si>
  <si>
    <t xml:space="preserve">Each unit has a pump switch panel (main switch, magnet switch, thermal protection, control/alarm relays, manual start, indication lamps, acoustic and free-potential alarm, Danfoss frequency controller). Nutrient stock: eight 1,000-litre polyester fertiliser tanks (four A, four B) with hinged covers and suction sets, and eight electric mixers on stainless-steel frames.</t>
  </si>
  <si>
    <t xml:space="preserve">• electrical_supply: 400V, 3-phase, 50Hz   (stated)</t>
  </si>
  <si>
    <t xml:space="preserve">D. EBB/FLOW (FLOOD-AND-DRAIN) IRRIGATION INSTALLATION — the flood-and-drain distribution and drain network for the cultivation containers.</t>
  </si>
  <si>
    <t xml:space="preserve">• ro_working_pressure: 10.6 bar   (stated)</t>
  </si>
  <si>
    <t xml:space="preserve">​- Layout: 2 departments, 10 cultivation tunnels per department, 5 layers per tunnel, 4 rows per layer, 15 containers per row — 6,000 cultivation containers total, each 2,760 by 1,290 millimetres; flood depth 15 millimetres; one inlet per container at 1.5 cubic metres per hour; 30 containers per valve, 200 electrically-actuated valves; one valve per department open at a time, giving a maximum demand of 45 cubic metres per hour per department.</t>
  </si>
  <si>
    <t xml:space="preserve">• minimum_inlet_pressure: 2.1 bar   (stated)</t>
  </si>
  <si>
    <t xml:space="preserve">​- Mainlines: DN125 polyvinyl-chloride main line from each fertiliser unit to its department, with two riser connections per tunnel.</t>
  </si>
  <si>
    <t xml:space="preserve">​- Risers, valves, distribution: two DN125 risers per cultivation room, each riser fitted with five 2.5-inch electric valves; each valve section feeds 30 containers (two rows of 15) via a DN75 distribution line running the length of the tunnel, with an inlet to each container.</t>
  </si>
  <si>
    <t xml:space="preserve">Notes</t>
  </si>
  <si>
    <t xml:space="preserve">​- Drain lines: a DN110 outlet per two containers to a DN110 riser (five outlets per riser, one per layer), 15 risers per tunnel side to a DN110 floor drain line, collected into a DN160 main drain line per compartment running to the drain pit.</t>
  </si>
  <si>
    <t xml:space="preserve">The system is a fluid-handling and dosing plant for agriculture, not a chemical solvent recovery plant. The 'closed-loop solvent/reagent recovery' mentioned in the prompt's stated process is a misclassification of the ebb/flow drain-water recovery system, which captures and reuses irrigation runoff. Electrical load derived only accounts for major motive power; a diversity factor and minor loads (dosing pumps, sensors, PLC) must be added for main panel sizing.</t>
  </si>
  <si>
    <t xml:space="preserve">​- Drain-water pit: a 5,000-litre drain pit per cultivation room with a 45-cubic-metre-per-hour submersible pump discharging through a DN110 line to the cloth filter.</t>
  </si>
  <si>
    <t xml:space="preserve">​- Cloth-filter unit: an 80-cubic-metre-per-hour cloth filter per cultivation room on a high-density-polyethylene tank, with a self-priming 45-cubic-metre-per-hour pump returning the filtered drain water to the drain-water tank for reuse.</t>
  </si>
  <si>
    <t xml:space="preserve">E. HAND-WATERING INSTALLATION — a frequency-controlled pump, 25 cubic metres per hour at 3.0 bar, on a stainless-steel frame, feeding a DN90 polyvinyl-chloride hand-watering ring main to both departments with 44 risers (two per tunnel plus four at the irrigation room), each with a hand valve and a quick connector.</t>
  </si>
  <si>
    <t xml:space="preserve">F. PROCESS-CONTROL COMPUTER — a horticultural irrigation/fertigation process computer (Hoogendoorn iSii class) managing the irrigation scheduling, the closed-loop electrical-conductivity and pH correction, level and flow monitoring, and the safety and fault alarms. Hardware: the process computer in a cabinet, two monitors, a 750-volt-ampere uninterruptible power supply, a radiation sensor, an Ethernet-CAN interface, and 22 distributed datapoint input/output casings. Water hardware: two pulse/litre counters, two inductive electrical-conductivity sensors and transmitters, two pH sensors, two pH transmitters, two pH-sensor armatures. Bus terminals: 4-channel digital-input, 4-to-20-milliamp and 0-to-20-milliamp analogue-input, and 55 four-channel digital-output AC/DC terminals. Software functions: two irrigation units with pump, 200 valves, two electrical-conductivity controls, two pH controls, two pH checks, two 16-choice fertiliser-selection groups, 20 crop sections, 20 registration groups, 20 recipes. Control cabling: control-bus and multi-core signal cable runs (500 to 2,000 metres each).</t>
  </si>
  <si>
    <t xml:space="preserve">Key constraints (the brief's target metrics):</t>
  </si>
  <si>
    <t xml:space="preserve">​- Total cultivation containers (trays): approximately 6,000 (the irrigation network sizing driver)</t>
  </si>
  <si>
    <t xml:space="preserve">​- Maximum irrigation demand: approximately 45 cubic metres per hour per department (two departments)</t>
  </si>
  <si>
    <t xml:space="preserve">​- Reverse-osmosis permeate capacity: approximately 8 cubic metres per hour at approximately 75 percent recovery</t>
  </si>
  <si>
    <t xml:space="preserve">​- Granular-activated-carbon and softener throughput: approximately 14 to 14.5 cubic metres per hour</t>
  </si>
  <si>
    <t xml:space="preserve">​- Water-storage capacity: three tanks of approximately 40 cubic metres each (one fresh, two drain)</t>
  </si>
  <si>
    <t xml:space="preserve">​- Fertigation: two A/B dosing units of approximately 45 cubic metres per hour, each with an approximately 7.5-kilowatt circulation pump at approximately 3.5 bar, closed-loop electrical-conductivity and pH correction, and eight 1,000-litre nutrient stock tanks (four A, four B)</t>
  </si>
  <si>
    <t xml:space="preserve">​- Hand watering: approximately 25 cubic metres per hour at approximately 3 bar</t>
  </si>
  <si>
    <t xml:space="preserve">​- Pipework: thermoplastic (polyvinyl-chloride) pressure pipework throughout, DN50 to DN160, sized for the stated flows</t>
  </si>
  <si>
    <t xml:space="preserve">​- Electrical supply: 400 volt, three-phase, 50 hertz; the design must state the connected and average electrical load (the plant is pumps, dosing and controls — of the order of low tens of kilowatts, NOT megawatts)</t>
  </si>
  <si>
    <t xml:space="preserve">​- Number of actuated valves: approximately 200</t>
  </si>
  <si>
    <t xml:space="preserve">​- Design life: 20 years</t>
  </si>
  <si>
    <t xml:space="preserve">​- Annual production volume: 6 units per year</t>
  </si>
  <si>
    <t xml:space="preserve">​- Unit cost ceiling: approximately £1,250,000 to £1,400,000 installed for the water, storage, fertigation, irrigation and control plant</t>
  </si>
  <si>
    <t xml:space="preserve">​- Primary objective: balanced — the lowest installed cost that meets the irrigation throughput, the water-purity and the layout targets</t>
  </si>
  <si>
    <t xml:space="preserve">Cost and calibration context (the reference supplier offer — the ground truth the engine must reproduce):</t>
  </si>
  <si>
    <t xml:space="preserve">​- A. Water purification: approximately £85,000 (€94,735)</t>
  </si>
  <si>
    <t xml:space="preserve">​- B. Water storage: approximately £31,000 (€34,553)</t>
  </si>
  <si>
    <t xml:space="preserve">​- C. Fertiliser/fertigation units: approximately £92,000 (€102,234)</t>
  </si>
  <si>
    <t xml:space="preserve">​- D. Ebb/flow irrigation installation: approximately £895,000 (€993,750) — the dominant cost, overwhelmingly installed polyvinyl-chloride pipework, the approximately 200 actuated valves, the risers and the drain network, plus installation labour, NOT major equipment</t>
  </si>
  <si>
    <t xml:space="preserve">​- E. Hand watering: approximately £24,000 (€26,857)</t>
  </si>
  <si>
    <t xml:space="preserve">​- F. Process-control computer: approximately £128,000 (€142,890)</t>
  </si>
  <si>
    <t xml:space="preserve">​- Total: approximately £1,250,000 (€1,395,019)</t>
  </si>
  <si>
    <t xml:space="preserve">​- The ebb/flow irrigation network (D) is roughly 71 percent of the total, so the bill of materials and the cost build-up must capture the long pipe runs, the approximately 200 actuated valves, the risers and the drain network — not just the major equipment.</t>
  </si>
  <si>
    <t xml:space="preserve">Safety and regulatory:</t>
  </si>
  <si>
    <t xml:space="preserve">​- Pressure Systems Safety Regulations for the pressurised vessels and the reverse-osmosis high-pressure section</t>
  </si>
  <si>
    <t xml:space="preserve">​- Control of Substances Hazardous to Health assessment for the acid and concentrated-nutrient dosing chemicals (corrosive; segregated bunded storage, eyewash and personal protective equipment)</t>
  </si>
  <si>
    <t xml:space="preserve">​- Water Supply (Water Fittings) Regulations and backflow prevention on the mains connection (Fluid Category protection)</t>
  </si>
  <si>
    <t xml:space="preserve">​- Machinery Directive, Low Voltage Directive and Electromagnetic Compatibility Directive for the equipment</t>
  </si>
  <si>
    <t xml:space="preserve">​- Legionella / water-hygiene control on the stored and recirculated water</t>
  </si>
  <si>
    <t xml:space="preserve">​- UKCA marking</t>
  </si>
  <si>
    <t xml:space="preserve">Explicitly EXCLUDED (out of scope — supplied by others, per the supplier exemptions):</t>
  </si>
  <si>
    <t xml:space="preserve">​- the grow-lighting / assimilation lighting and its switchboards</t>
  </si>
  <si>
    <t xml:space="preserve">​- the climate / heating, ventilation and cooling hardware and the climate-control computer</t>
  </si>
  <si>
    <t xml:space="preserve">​- the cultivation rack framework</t>
  </si>
  <si>
    <t xml:space="preserve">​- the building, civil works and excavation</t>
  </si>
  <si>
    <t xml:space="preserve">​- the main electrical switchboard and the feeder cables to it, and earthing/cable tray/cable penetrations</t>
  </si>
  <si>
    <t xml:space="preserve">Sub-modules expected: mains water intake and backflow protection, water softening, granular-activated-carbon filtration, particle filtration, reverse-osmosis purification and blending, fresh-water and drain-water storage with level monitoring, A/B nutrient dosing and electrical-conductivity/pH correction, nutrient stock-tank storage and mixing, ebb/flow distribution mains/risers/actuated valve sections, gravity drain collection and drain pit, drain-water cloth filtration and return, hand-watering ring main, irrigation/fertigation process-control and instrumentation, and the control cabling.</t>
  </si>
  <si>
    <t xml:space="preserve">Client offer vs this design, by subsystem</t>
  </si>
  <si>
    <t xml:space="preserve">Mapping: each BoM line is classed to a client section by its SERVICE/SCOPE family — the MOST SPECIFIC subsystem keyword match wins (ties in the client's own A→F order); an interconnect line follows its service (electrical/control cabling → the controls section; pipework touching the distribution/drain network → that section; other process runs → their source endpoint's section); plant-wide field instrumentation → the controls-and-instrumentation section. Each row states WHICH line families it counted. Unallocated lines are shown separately, NEVER forced into a match, and Σ sections + unallocated equals the bill total EXACTLY (asserted at build). The client's section prices are INSTALLED, so the comparison column is the engine installed-equivalent = section BoM materials × 1.7 (this run's installed ÷ materials ratio from the cost stack). Recorded scope decisions (briefs-loop/water-treatment-example.decisions.json) render inline: a diverging section covered by a decision reads CONSISTENT WITH RECORDED DECISION (who/date/rationale + the real numbers); a diverging section with NO recorded decision still fails.</t>
  </si>
  <si>
    <t xml:space="preserve">Client section</t>
  </si>
  <si>
    <t xml:space="preserve">Client offer £ (installed)</t>
  </si>
  <si>
    <t xml:space="preserve">This design £ (BoM materials)</t>
  </si>
  <si>
    <t xml:space="preserve">Installed-equivalent £</t>
  </si>
  <si>
    <t xml:space="preserve">Δ vs offer £</t>
  </si>
  <si>
    <t xml:space="preserve">Honest note</t>
  </si>
  <si>
    <t xml:space="preserve">A. Water purification</t>
  </si>
  <si>
    <t xml:space="preserve">CONSISTENT WITH RECORDED DECISION — engine 2.3× the client section (installed-equiv £198,934 vs client £85,000). The engine's fuller purification design stands versus the leaner client offer — accepted scope, not a defect to tune away. — Tristan Fischer, 2026-07-03. Rationale: The engine includes an ultrafiltration membrane bank, ultraviolet disinfection and duplicated granular-activated-carbon/softener treatment trains that the client's offer never priced; the whole-plant total remains ~1.1x the client's GBP 1,250,000 offer. [evidence: engine installed-equivalent ~2.3x the client section (v61: GBP 198,958 vs GBP 85,000); whole-plant total 1.11x]  ·  COUNTED: 12× section scope stems (most-specific match) £105,035 · 7× process interconnect (by source endpoint) £11,985</t>
  </si>
  <si>
    <t xml:space="preserve">B. Water storage</t>
  </si>
  <si>
    <t xml:space="preserve">CONSISTENT WITH RECORDED DECISION — engine 2.4× the client section (installed-equiv £74,472 vs client £31,000). The engine's fuller tank scope stands versus the leaner client offer — accepted scope, not a defect to tune away. — Tristan Fischer, 2026-07-03. Rationale: The engine prices fuller installed tank scope (~GBP 23k per installed 40 m3 galvanised tank vs the client's ~GBP 10k) plus level instrumentation the client's offer never priced; the whole-plant total remains ~1.1x the client's GBP 1,250,000 offer. [evidence: engine installed-equivalent ~2.4x the client section (v61: GBP 74,465 vs GBP 31,000); whole-plant total 1.11x]  ·  COUNTED: 2× section scope stems (most-specific match) £40,845 · 3× process interconnect (by source endpoint) £2,284 · 1× process interconnect (by destination endpoint) £678</t>
  </si>
  <si>
    <t xml:space="preserve">C. Fertiliser/fertigation units</t>
  </si>
  <si>
    <t xml:space="preserve">engine installed-equivalent within 24% of the client section  ·  COUNTED: 2× section scope stems (most-specific match) £40,020 · 1× process interconnect (by source endpoint) £1,004</t>
  </si>
  <si>
    <t xml:space="preserve">D. Ebb/flow irrigation installation</t>
  </si>
  <si>
    <t xml:space="preserve">engine installed-equivalent within 17% of the client section  ·  COUNTED: 15× section scope stems (most-specific match) £402,378 · 35× distribution/drain-network pipework £34,379</t>
  </si>
  <si>
    <t xml:space="preserve">E. Hand watering</t>
  </si>
  <si>
    <t xml:space="preserve">engine installed-equivalent within 19% of the client section  ·  COUNTED: 3× section scope stems (most-specific match) £11,499</t>
  </si>
  <si>
    <t xml:space="preserve">F. Process-control computer</t>
  </si>
  <si>
    <t xml:space="preserve">CONSISTENT WITH RECORDED DECISION — engine 1.6× the client section (installed-equiv £206,365 vs client £128,000). The engine's fuller controls-and-instrumentation design stands versus the leaner client offer — accepted scope, not a defect to tune away. — Tristan Fischer, 2026-07-03. Rationale: The engine includes a SCADA/process-control system plus plant-wide field instrumentation (17 banded level transmitters and the electrical/control cabling) that the client's single process-control-computer line never priced; the whole-plant total remains ~1.1x the client's GBP 1,250,000 offer. [evidence: engine installed-equivalent ~1.8x the client section (v61: GBP 234,124 vs GBP 128,000); whole-plant total 1.11x]  ·  COUNTED: 26× section scope stems (most-specific match) £86,198 · 18× field instrumentation (plant-wide) £33,610 · 26× electrical/control cabling £1,583</t>
  </si>
  <si>
    <t xml:space="preserve">(engine lines not mapped to any client section)</t>
  </si>
  <si>
    <t xml:space="preserve">engine-added scope with no client section counterpart (e.g. standby power, skid frames, CIP) — kept VISIBLY unallocated, never forced into a section  ·  COUNTED: 38× no section family match £36,974 · 1× interconnect with no in-scope endpoint £413</t>
  </si>
  <si>
    <t xml:space="preserve">TOTAL</t>
  </si>
  <si>
    <t xml:space="preserve">engine installed capex (cost stack) vs the client's total offer</t>
  </si>
  <si>
    <t xml:space="preserve">Design-basis statement — codes, duties, fluid &amp; utilisation basis</t>
  </si>
  <si>
    <t xml:space="preserve">The rules this design was ACTUALLY sized to, one page. Every line is DERIVED LIVE from the module that owns it (pipe/duct sizing constants, the electrical model's BS 7671 ladder, ISO 3098 print legibility, the contract quantities, the Inputs utilisation drivers) with its source stated — never hand-typed. Change the rule at source and this statement follows on rebuild.</t>
  </si>
  <si>
    <t xml:space="preserve">Discipline</t>
  </si>
  <si>
    <t xml:space="preserve">Source (module constant / contract quantity — never hand-typed)</t>
  </si>
  <si>
    <t xml:space="preserve">Process &amp; piping</t>
  </si>
  <si>
    <t xml:space="preserve">Pipe sizing basis — target velocity, liquid lines</t>
  </si>
  <si>
    <t xml:space="preserve">m/s</t>
  </si>
  <si>
    <t xml:space="preserve">connection_sizing.DEFAULT_LIQUID_VELOCITY_MS — D = √(4Q/πv), next standard DN up</t>
  </si>
  <si>
    <t xml:space="preserve">Target velocity, gas / vapour lines</t>
  </si>
  <si>
    <t xml:space="preserve">connection_sizing.DEFAULT_GAS_VELOCITY_MS</t>
  </si>
  <si>
    <t xml:space="preserve">Target velocity, steam lines</t>
  </si>
  <si>
    <t xml:space="preserve">connection_sizing.DEFAULT_STEAM_VELOCITY_MS</t>
  </si>
  <si>
    <t xml:space="preserve">Velocity limit, liquid lines (line-list spec)</t>
  </si>
  <si>
    <t xml:space="preserve">connection_sizing.LIQUID_VELOCITY_LIMIT_MS — the ≤ limit every line is checked against</t>
  </si>
  <si>
    <t xml:space="preserve">Velocity limit, gas lines (erosion)</t>
  </si>
  <si>
    <t xml:space="preserve">connection_sizing.GAS_VELOCITY_LIMIT_MS (API RP 14E erosion ballpark)</t>
  </si>
  <si>
    <t xml:space="preserve">Velocity limit, steam lines (erosion)</t>
  </si>
  <si>
    <t xml:space="preserve">connection_sizing.STEAM_VELOCITY_LIMIT_MS</t>
  </si>
  <si>
    <t xml:space="preserve">Standard pipe size ladder</t>
  </si>
  <si>
    <t xml:space="preserve">DN15–DN300 (14 standard bores)</t>
  </si>
  <si>
    <t xml:space="preserve">DN</t>
  </si>
  <si>
    <t xml:space="preserve">connection_sizing.PIPE_DN_LADDER — the ONE ladder the sizer, line list and BoM share</t>
  </si>
  <si>
    <t xml:space="preserve">Duct sizing basis — target air velocity</t>
  </si>
  <si>
    <t xml:space="preserve">draw_hvac.DEFAULT_DUCT_VELOCITY_MS — duct area = airflow ÷ target velocity</t>
  </si>
  <si>
    <t xml:space="preserve">Duct velocity ceiling (flagged above)</t>
  </si>
  <si>
    <t xml:space="preserve">draw_hvac.DUCT_VELOCITY_MAX_MS</t>
  </si>
  <si>
    <t xml:space="preserve">Distribution voltage (this design)</t>
  </si>
  <si>
    <t xml:space="preserve">400 V 3-ph LV</t>
  </si>
  <si>
    <t xml:space="preserve">electrical_distribution_model.select_distribution_voltage(53 kW) — 53 kW ≤ 250 kW → standard 400 V LV board</t>
  </si>
  <si>
    <t xml:space="preserve">Cable conductor sizes — preferred ladder</t>
  </si>
  <si>
    <t xml:space="preserve">1.5–400 (17 sizes)</t>
  </si>
  <si>
    <t xml:space="preserve">mm²</t>
  </si>
  <si>
    <t xml:space="preserve">electrical_distribution_model.CABLE_CSA_LADDER — BS 7671 / IEC 60228 preferred sizes</t>
  </si>
  <si>
    <t xml:space="preserve">Cable ampacity basis</t>
  </si>
  <si>
    <t xml:space="preserve">BS 7671 Method C (conservative single-core copper)</t>
  </si>
  <si>
    <t xml:space="preserve">electrical_distribution_model._CSA_AMPACITY_A</t>
  </si>
  <si>
    <t xml:space="preserve">Assumed displacement power factor</t>
  </si>
  <si>
    <t xml:space="preserve">electrical_distribution_model.POWER_FACTOR (stated, kW↔A)</t>
  </si>
  <si>
    <t xml:space="preserve">Practical LV main-board current ceiling</t>
  </si>
  <si>
    <t xml:space="preserve">A</t>
  </si>
  <si>
    <t xml:space="preserve">electrical_distribution_model.PRACTICAL_LV_BOARD_CURRENT_A — past this the model steps up</t>
  </si>
  <si>
    <t xml:space="preserve">Minimum lettering on printed A1 sheets</t>
  </si>
  <si>
    <t xml:space="preserve">mm</t>
  </si>
  <si>
    <t xml:space="preserve">a1_print.MIN_TEXT_MM — ISO 3098 minimum lettering height; pagination splits a drawing onto more A1 sheets until met</t>
  </si>
  <si>
    <t xml:space="preserve">Design flows &amp; duties</t>
  </si>
  <si>
    <t xml:space="preserve">fertigation dosing capacity m3 per hr</t>
  </si>
  <si>
    <t xml:space="preserve">orchestratorContract.quantities.fertigation_dosing_capacity_m3_per_hr (calculator)</t>
  </si>
  <si>
    <t xml:space="preserve">fertigation dosing total m3 h</t>
  </si>
  <si>
    <t xml:space="preserve">orchestratorContract.quantities.fertigation_dosing_total_m3_h (demand-coverage)</t>
  </si>
  <si>
    <t xml:space="preserve">irrigation demand m3 h</t>
  </si>
  <si>
    <t xml:space="preserve">orchestratorContract.quantities.irrigation_demand_m3_h (calculator)</t>
  </si>
  <si>
    <t xml:space="preserve">irrigation pump flow m3 h</t>
  </si>
  <si>
    <t xml:space="preserve">orchestratorContract.quantities.irrigation_pump_flow_m3_h (tool:irrigation:pump-sizing)</t>
  </si>
  <si>
    <t xml:space="preserve">uv disinfection throughput m3 h</t>
  </si>
  <si>
    <t xml:space="preserve">orchestratorContract.quantities.uv_disinfection_throughput_m3_h (calculator)</t>
  </si>
  <si>
    <t xml:space="preserve">transformer kva</t>
  </si>
  <si>
    <t xml:space="preserve">kVA</t>
  </si>
  <si>
    <t xml:space="preserve">orchestratorContract.quantities.transformer_kva (tool:electrical:transformer-sizing)</t>
  </si>
  <si>
    <t xml:space="preserve">connected electrical load kw</t>
  </si>
  <si>
    <t xml:space="preserve">kW</t>
  </si>
  <si>
    <t xml:space="preserve">orchestratorContract.quantities.connected_electrical_load_kw (calculator)</t>
  </si>
  <si>
    <t xml:space="preserve">Process fluid</t>
  </si>
  <si>
    <t xml:space="preserve">Design fluid density</t>
  </si>
  <si>
    <t xml:space="preserve">kg/m³</t>
  </si>
  <si>
    <t xml:space="preserve">process-fluid density (median of 3 engine worked-calc input(s)) — resolved by _process_fluid_density from the engine's own worked-calc inputs</t>
  </si>
  <si>
    <t xml:space="preserve">Utilisation drivers</t>
  </si>
  <si>
    <t xml:space="preserve">Water / service utilisation (levelised-cost divisor)</t>
  </si>
  <si>
    <t xml:space="preserve">LIVE ← 'Inputs &amp; Assumptions'!$B$14 — annual delivered volume = design flow × 8760 × THIS driver</t>
  </si>
  <si>
    <t xml:space="preserve">Electrical load factor (energy line only)</t>
  </si>
  <si>
    <t xml:space="preserve">LIVE ← 'Inputs &amp; Assumptions'!$B$11 — average÷peak electrical ratio — sizes the energy cost, never the water divisor</t>
  </si>
  <si>
    <t xml:space="preserve">Operating hours basis</t>
  </si>
  <si>
    <t xml:space="preserve">h/yr</t>
  </si>
  <si>
    <t xml:space="preserve">LIVE ← 'Inputs &amp; Assumptions'!$B$12 — hours per year the plant runs</t>
  </si>
  <si>
    <t xml:space="preserve">Drawing register</t>
  </si>
  <si>
    <t xml:space="preserve">Every engineering drawing and render in this dossier. The File column names the print-ready ISO A1 vector PDF set in the run's drawings/ folder (841 × 594 mm, smallest lettering ≥ 2.5 mm on paper per ISO 3098; multi-sheet drawings carry match lines). The workbook tabs embed reduced PNG previews — print from the A1 PDFs, never from the previews.</t>
  </si>
  <si>
    <t xml:space="preserve">Drawing No.</t>
  </si>
  <si>
    <t xml:space="preserve">Title</t>
  </si>
  <si>
    <t xml:space="preserve">Rev</t>
  </si>
  <si>
    <t xml:space="preserve">Scale</t>
  </si>
  <si>
    <t xml:space="preserve">Sheets</t>
  </si>
  <si>
    <t xml:space="preserve">Min lettering</t>
  </si>
  <si>
    <t xml:space="preserve">File (A1 print set)</t>
  </si>
  <si>
    <t xml:space="preserve">Preview tab</t>
  </si>
  <si>
    <t xml:space="preserve">File check</t>
  </si>
  <si>
    <t xml:space="preserve">Audit: PDFs found</t>
  </si>
  <si>
    <t xml:space="preserve">Audit: missing sheets</t>
  </si>
  <si>
    <t xml:space="preserve">FF-GA-001</t>
  </si>
  <si>
    <t xml:space="preserve">General Arrangement</t>
  </si>
  <si>
    <t xml:space="preserve">P1</t>
  </si>
  <si>
    <t xml:space="preserve">1:200  (@ A1)</t>
  </si>
  <si>
    <t xml:space="preserve">3 mm</t>
  </si>
  <si>
    <t xml:space="preserve">drawings/ga-A1.pdf</t>
  </si>
  <si>
    <t xml:space="preserve">FF-PID-001</t>
  </si>
  <si>
    <t xml:space="preserve">Piping &amp; Instrumentation Diagram</t>
  </si>
  <si>
    <t xml:space="preserve">NTS</t>
  </si>
  <si>
    <t xml:space="preserve">3.25 mm</t>
  </si>
  <si>
    <t xml:space="preserve">drawings/pid-A1.pdf
drawings/pid-A1-sheet2.pdf
drawings/pid-A1-sheet3.pdf
drawings/pid-A1-sheet4.pdf
drawings/pid-A1-sheet5.pdf
drawings/pid-A1-sheet6.pdf
drawings/pid-A1-sheet7.pdf
drawings/pid-A1-sheet8.pdf
drawings/pid-A1-sheet9.pdf
drawings/pid-A1-sheet10.pdf
drawings/pid-A1-sheet11.pdf
drawings/pid-A1-sheet12.pdf</t>
  </si>
  <si>
    <t xml:space="preserve">FF-BFD-001</t>
  </si>
  <si>
    <t xml:space="preserve">Block Flow Diagram</t>
  </si>
  <si>
    <t xml:space="preserve">2.7 mm</t>
  </si>
  <si>
    <t xml:space="preserve">drawings/bfd-A1.pdf
drawings/bfd-A1-sheet2.pdf
drawings/bfd-A1-sheet3.pdf
drawings/bfd-A1-sheet4.pdf
drawings/bfd-A1-sheet5.pdf
drawings/bfd-A1-sheet6.pdf</t>
  </si>
  <si>
    <t xml:space="preserve">FF-SLD-001</t>
  </si>
  <si>
    <t xml:space="preserve">Single-Line Electrical Diagram</t>
  </si>
  <si>
    <t xml:space="preserve">2.79 mm</t>
  </si>
  <si>
    <t xml:space="preserve">drawings/single-line-A1.pdf</t>
  </si>
  <si>
    <t xml:space="preserve">FF-HVAC-001</t>
  </si>
  <si>
    <t xml:space="preserve">HVAC / Ventilation Layout</t>
  </si>
  <si>
    <t xml:space="preserve">1:500  (@ A1)</t>
  </si>
  <si>
    <t xml:space="preserve">— no A1 print set (PNG/SVG embedded only)</t>
  </si>
  <si>
    <t xml:space="preserve">Photoreal renders — 8 view(s) from the Blender scene build (drawing-manifest renders[])</t>
  </si>
  <si>
    <t xml:space="preserve">Render</t>
  </si>
  <si>
    <t xml:space="preserve">File</t>
  </si>
  <si>
    <t xml:space="preserve">Caption</t>
  </si>
  <si>
    <t xml:space="preserve">00-hero.png</t>
  </si>
  <si>
    <t xml:space="preserve">01-top.png</t>
  </si>
  <si>
    <t xml:space="preserve">Render 3 — Interior FR iso</t>
  </si>
  <si>
    <t xml:space="preserve">02-corner-FR.png</t>
  </si>
  <si>
    <t xml:space="preserve">Interior render — front-right corner perspective · plant envelope 22.1 × 24.4 × 4.5 m · principal equipment: TK-106 Drain Water Tank · TK-107 Drain Water Tank · TK-108 Fresh Water Tank · Z-101 Reverse Osmosis Skid · Z-102 Uf Module Bank</t>
  </si>
  <si>
    <t xml:space="preserve">Render 4 — Interior BL iso</t>
  </si>
  <si>
    <t xml:space="preserve">03-corner-BL.png</t>
  </si>
  <si>
    <t xml:space="preserve">Interior render — back-left corner perspective · plant envelope 22.1 × 24.4 × 4.5 m · principal equipment: TK-106 Drain Water Tank · TK-107 Drain Water Tank · TK-108 Fresh Water Tank · Z-101 Reverse Osmosis Skid · Z-102 Uf Module Bank</t>
  </si>
  <si>
    <t xml:space="preserve">exterior/00-hero.png</t>
  </si>
  <si>
    <t xml:space="preserve">Render 6 — Exterior plan</t>
  </si>
  <si>
    <t xml:space="preserve">exterior/01-top.png</t>
  </si>
  <si>
    <t xml:space="preserve">Exterior render — plan view, looking down · plant envelope 22.1 × 24.4 × 4.5 m · building shell + site apron (equipment enclosed)</t>
  </si>
  <si>
    <t xml:space="preserve">exterior/02-corner-FR.png</t>
  </si>
  <si>
    <t xml:space="preserve">Render 8 — Exterior BL iso</t>
  </si>
  <si>
    <t xml:space="preserve">exterior/03-corner-BL.png</t>
  </si>
  <si>
    <t xml:space="preserve">Exterior render — back-left corner perspective · plant envelope 22.1 × 24.4 × 4.5 m · building shell + site apron (equipment enclosed)</t>
  </si>
  <si>
    <t xml:space="preserve">Block flow diagram of the process.</t>
  </si>
  <si>
    <t xml:space="preserve">Full-size vector sheets: drawings/bfd-A1.pdf (sheets 1-6, ISO A1, lettering ≥2.5 mm) — see the Drawings register tab. Reading guide: each block is one major process step — follow the stream arrows left to right; block names match the Quantities and BoM module groupings.</t>
  </si>
  <si>
    <t xml:space="preserve">Piping &amp; instrumentation diagram.</t>
  </si>
  <si>
    <t xml:space="preserve">Full-size vector sheets: drawings/pid-A1.pdf (sheets 1-12, ISO A1, lettering ≥2.5 mm) — see the Drawings register tab. Reading guide: top band = the process train in flow order (follow the numbered lines left to right), lower band = utility / dosing tie-ins; line numbers match the Process schedules tab.</t>
  </si>
  <si>
    <t xml:space="preserve">Valve list and instrument index — sortable sections parsed from process-schedules.md and cross-referenced to the P&amp;ID. The LINE LIST lives once, on the 'Line &amp; velocity' tab.</t>
  </si>
  <si>
    <t xml:space="preserve">Process line list — see the 'Line &amp; velocity' tab</t>
  </si>
  <si>
    <t xml:space="preserve">→ Line &amp; velocity</t>
  </si>
  <si>
    <t xml:space="preserve">THE line list: every routed line ONCE (as-routed tags, e.g. 201-PR-DN65) with its size, computed flow/velocity vs the erosion band, length, £ and per-row contract check. The 81-row block previously duplicated here carried the same physical lines in two tag dialects, plus artefact rows (a from==to self-loop; 4-20 mA instrument signal cables misfiled as pipes) — signals are on the instrument index below, never the pipe list.</t>
  </si>
  <si>
    <t xml:space="preserve">Process valve list</t>
  </si>
  <si>
    <t xml:space="preserve">Type</t>
  </si>
  <si>
    <t xml:space="preserve">Service</t>
  </si>
  <si>
    <t xml:space="preserve">Line / location</t>
  </si>
  <si>
    <t xml:space="preserve">Size</t>
  </si>
  <si>
    <t xml:space="preserve">Set / Cv</t>
  </si>
  <si>
    <t xml:space="preserve">Fail</t>
  </si>
  <si>
    <t xml:space="preserve">NV-201</t>
  </si>
  <si>
    <t xml:space="preserve">Non-return (check)</t>
  </si>
  <si>
    <t xml:space="preserve">201-PR</t>
  </si>
  <si>
    <t xml:space="preserve">FF-PID-001 S1-S12</t>
  </si>
  <si>
    <t xml:space="preserve">PCV-201</t>
  </si>
  <si>
    <t xml:space="preserve">Control valve</t>
  </si>
  <si>
    <t xml:space="preserve">Flow Control Valve (assembly component)</t>
  </si>
  <si>
    <t xml:space="preserve">242-WT-DN20</t>
  </si>
  <si>
    <t xml:space="preserve">DN20</t>
  </si>
  <si>
    <t xml:space="preserve">modulating</t>
  </si>
  <si>
    <t xml:space="preserve">FC</t>
  </si>
  <si>
    <t xml:space="preserve">PSV-201 (×2)</t>
  </si>
  <si>
    <t xml:space="preserve">Pressure relief (PSV)</t>
  </si>
  <si>
    <t xml:space="preserve">Tank Vent / Pressure Relief (assembly component)</t>
  </si>
  <si>
    <t xml:space="preserve">line size</t>
  </si>
  <si>
    <t xml:space="preserve">HV-201 (×2)</t>
  </si>
  <si>
    <t xml:space="preserve">Manual isolation</t>
  </si>
  <si>
    <t xml:space="preserve">Suction Isolation Valve (assembly component)</t>
  </si>
  <si>
    <t xml:space="preserve">202-PR</t>
  </si>
  <si>
    <t xml:space="preserve">HV-202 (×2)</t>
  </si>
  <si>
    <t xml:space="preserve">Discharge Isolation Valve (assembly component)</t>
  </si>
  <si>
    <t xml:space="preserve">203-PR</t>
  </si>
  <si>
    <t xml:space="preserve">NV-202 (×2)</t>
  </si>
  <si>
    <t xml:space="preserve">Non-Return Valve (assembly component)</t>
  </si>
  <si>
    <t xml:space="preserve">204-PR</t>
  </si>
  <si>
    <t xml:space="preserve">HV-203</t>
  </si>
  <si>
    <t xml:space="preserve">205-PR</t>
  </si>
  <si>
    <t xml:space="preserve">HV-204</t>
  </si>
  <si>
    <t xml:space="preserve">206-PR</t>
  </si>
  <si>
    <t xml:space="preserve">NV-203</t>
  </si>
  <si>
    <t xml:space="preserve">207-PR</t>
  </si>
  <si>
    <t xml:space="preserve">HV-205 (×2)</t>
  </si>
  <si>
    <t xml:space="preserve">HV-206 (×2)</t>
  </si>
  <si>
    <t xml:space="preserve">NV-204 (×2)</t>
  </si>
  <si>
    <t xml:space="preserve">HV-207</t>
  </si>
  <si>
    <t xml:space="preserve">208-PR</t>
  </si>
  <si>
    <t xml:space="preserve">HV-208</t>
  </si>
  <si>
    <t xml:space="preserve">209-PR</t>
  </si>
  <si>
    <t xml:space="preserve">NV-205</t>
  </si>
  <si>
    <t xml:space="preserve">210-PR</t>
  </si>
  <si>
    <t xml:space="preserve">HV-209</t>
  </si>
  <si>
    <t xml:space="preserve">211-PR</t>
  </si>
  <si>
    <t xml:space="preserve">HV-210</t>
  </si>
  <si>
    <t xml:space="preserve">212-WT</t>
  </si>
  <si>
    <t xml:space="preserve">NV-206</t>
  </si>
  <si>
    <t xml:space="preserve">213-WT</t>
  </si>
  <si>
    <t xml:space="preserve">XV-201</t>
  </si>
  <si>
    <t xml:space="preserve">Solenoid shut-off</t>
  </si>
  <si>
    <t xml:space="preserve">214-PR</t>
  </si>
  <si>
    <t xml:space="preserve">on/off (tight-shutoff)</t>
  </si>
  <si>
    <t xml:space="preserve">XV-202 (×200)</t>
  </si>
  <si>
    <t xml:space="preserve">Actuated isolation</t>
  </si>
  <si>
    <t xml:space="preserve">215-PR</t>
  </si>
  <si>
    <t xml:space="preserve">HV-211</t>
  </si>
  <si>
    <t xml:space="preserve">216-WT</t>
  </si>
  <si>
    <t xml:space="preserve">XV-203 (×200)</t>
  </si>
  <si>
    <t xml:space="preserve">217-WT</t>
  </si>
  <si>
    <t xml:space="preserve">PCV-202</t>
  </si>
  <si>
    <t xml:space="preserve">DN100 modulating control valve (45 m³/h @ 2 m/s), on the inlet of Softener Vessel; modulated against the tank level transmitter to balance the recirculation flow</t>
  </si>
  <si>
    <t xml:space="preserve">XV-204</t>
  </si>
  <si>
    <t xml:space="preserve">218-PR</t>
  </si>
  <si>
    <t xml:space="preserve">HV-212</t>
  </si>
  <si>
    <t xml:space="preserve">219-PR</t>
  </si>
  <si>
    <t xml:space="preserve">PCV-203</t>
  </si>
  <si>
    <t xml:space="preserve">220-WT</t>
  </si>
  <si>
    <t xml:space="preserve">HV-213</t>
  </si>
  <si>
    <t xml:space="preserve">221-WT</t>
  </si>
  <si>
    <t xml:space="preserve">XV-205</t>
  </si>
  <si>
    <t xml:space="preserve">222-PR</t>
  </si>
  <si>
    <t xml:space="preserve">PSV-202</t>
  </si>
  <si>
    <t xml:space="preserve">NV-207</t>
  </si>
  <si>
    <t xml:space="preserve">223-PR</t>
  </si>
  <si>
    <t xml:space="preserve">HV-214</t>
  </si>
  <si>
    <t xml:space="preserve">224-PR</t>
  </si>
  <si>
    <t xml:space="preserve">Process instruments</t>
  </si>
  <si>
    <t xml:space="preserve">ISA</t>
  </si>
  <si>
    <t xml:space="preserve">Measured</t>
  </si>
  <si>
    <t xml:space="preserve">Location</t>
  </si>
  <si>
    <t xml:space="preserve">Range</t>
  </si>
  <si>
    <t xml:space="preserve">Signal</t>
  </si>
  <si>
    <t xml:space="preserve">Loop</t>
  </si>
  <si>
    <t xml:space="preserve">PT-218</t>
  </si>
  <si>
    <t xml:space="preserve">PT</t>
  </si>
  <si>
    <t xml:space="preserve">Differential-Pressure Gauges — TBD (detailed design)</t>
  </si>
  <si>
    <t xml:space="preserve">Pressure</t>
  </si>
  <si>
    <t xml:space="preserve">Coplanar gauge / DP</t>
  </si>
  <si>
    <t xml:space="preserve">X-912</t>
  </si>
  <si>
    <t xml:space="preserve">4–20 mA</t>
  </si>
  <si>
    <t xml:space="preserve">PT-219</t>
  </si>
  <si>
    <t xml:space="preserve">PT-220…224</t>
  </si>
  <si>
    <t xml:space="preserve">Discharge Pressure Gauge — TBD (detailed design)</t>
  </si>
  <si>
    <t xml:space="preserve">P-101 (4 off)</t>
  </si>
  <si>
    <t xml:space="preserve">PT-222</t>
  </si>
  <si>
    <t xml:space="preserve">PT-225</t>
  </si>
  <si>
    <t xml:space="preserve">PT-226</t>
  </si>
  <si>
    <t xml:space="preserve">PT-227</t>
  </si>
  <si>
    <t xml:space="preserve">PT-228</t>
  </si>
  <si>
    <t xml:space="preserve">PT-229</t>
  </si>
  <si>
    <t xml:space="preserve">PT-230</t>
  </si>
  <si>
    <t xml:space="preserve">PT-231</t>
  </si>
  <si>
    <t xml:space="preserve">X-913</t>
  </si>
  <si>
    <t xml:space="preserve">FT-201</t>
  </si>
  <si>
    <t xml:space="preserve">FT</t>
  </si>
  <si>
    <t xml:space="preserve">Flow</t>
  </si>
  <si>
    <t xml:space="preserve">Electromagnetic</t>
  </si>
  <si>
    <t xml:space="preserve">lines (e.g. 243-PR-DN32)</t>
  </si>
  <si>
    <t xml:space="preserve">AT-202</t>
  </si>
  <si>
    <t xml:space="preserve">AT (pH)</t>
  </si>
  <si>
    <t xml:space="preserve">pH / conductivity</t>
  </si>
  <si>
    <t xml:space="preserve">Memosens electrode</t>
  </si>
  <si>
    <t xml:space="preserve">vessels (e.g. V-106)</t>
  </si>
  <si>
    <t xml:space="preserve">0–14 pH</t>
  </si>
  <si>
    <t xml:space="preserve">AT-203</t>
  </si>
  <si>
    <t xml:space="preserve">AT (ORP)</t>
  </si>
  <si>
    <t xml:space="preserve">Redox (ORP)</t>
  </si>
  <si>
    <t xml:space="preserve">Pt ORP electrode</t>
  </si>
  <si>
    <t xml:space="preserve">−1500 to +1500 mV</t>
  </si>
  <si>
    <t xml:space="preserve">LT-201…213</t>
  </si>
  <si>
    <t xml:space="preserve">LT</t>
  </si>
  <si>
    <t xml:space="preserve">Level</t>
  </si>
  <si>
    <t xml:space="preserve">Guided-radar</t>
  </si>
  <si>
    <t xml:space="preserve">vessels (e.g. V-106) (13 off)</t>
  </si>
  <si>
    <t xml:space="preserve">0–1.4 m</t>
  </si>
  <si>
    <t xml:space="preserve">0–3 m</t>
  </si>
  <si>
    <t xml:space="preserve">LT-215…217</t>
  </si>
  <si>
    <t xml:space="preserve">vessels (e.g. V-106) (3 off)</t>
  </si>
  <si>
    <t xml:space="preserve">0–4 m</t>
  </si>
  <si>
    <t xml:space="preserve">ISE / glass electrode</t>
  </si>
  <si>
    <t xml:space="preserve">PT-201…217</t>
  </si>
  <si>
    <t xml:space="preserve">Piezoresistive</t>
  </si>
  <si>
    <t xml:space="preserve">P-101 (17 off)</t>
  </si>
  <si>
    <t xml:space="preserve">0–5 bar</t>
  </si>
  <si>
    <t xml:space="preserve">AT-204</t>
  </si>
  <si>
    <t xml:space="preserve">AT</t>
  </si>
  <si>
    <t xml:space="preserve">Composition</t>
  </si>
  <si>
    <t xml:space="preserve">NDIR analyser</t>
  </si>
  <si>
    <t xml:space="preserve">FT-202</t>
  </si>
  <si>
    <t xml:space="preserve">PT-232</t>
  </si>
  <si>
    <t xml:space="preserve">General arrangement / plant layout.</t>
  </si>
  <si>
    <t xml:space="preserve">Full-size vector sheets: drawings/ga-A1.pdf (sheet 1 of 1, ISO A1, lettering ≥2.5 mm) — see the Drawings register tab. Reading guide: plan view with elevations — equipment outlines carry the same tags as the Part names tab; dimensions in mm, datum ±0.000 = finished floor level.</t>
  </si>
  <si>
    <t xml:space="preserve">HVAC / ventilation layout.</t>
  </si>
  <si>
    <t xml:space="preserve">Full-size vector sheets: none for this drawing (PNG/SVG master only) — see the Drawings register tab. Reading guide: duct runs overlay the GA footprint with supply vs extract airflow arrows; equipment tags match the Part names tab.</t>
  </si>
  <si>
    <t xml:space="preserve">Electrical — single-line diagram + panel / load schedule</t>
  </si>
  <si>
    <t xml:space="preserve">The electrical design on ONE tab: single-line diagram (preview) above, the panel / load schedule below. Every number on this tab renders from ONE dataset — the schedule (the converged connection schedule): Design I = P·1000 / (√3·V·pf·η) — pf 0.85 / η 0.90 for motor circuits, pf 1.0 / η 1.0 for resistive loads — from each circuit's INSTALLED motor frame. ΔU % is the cable volt-drop over its length / CSA at Design I. 'In spec' is a LIVE formula = (ΔU ≤ 5 %) — a missing/dash ΔU renders ✗, never a pass. Auto-generated; not for construction. ROW CHECK CONTRACT (score = 10 × rows-passing ÷ rows = 10 × 22/23 = 9.6): Ckt/Description=required_nonempty · Conn. load (kW)=required_nonempty · Design I (A)=computed · Protective device=computed · Cable=computed · Length (m)=required_nonempty · ΔU (%)=computed · In spec=computed · Board reconciliation=computed · Drawing ↔ schedule=computed. A dash / empty / unverifiable contracted cell FAILS its row — honest red beats fake green.</t>
  </si>
  <si>
    <t xml:space="preserve">Full-size vector sheets: drawings/single-line-A1.pdf (sheet 1 of 1, ISO A1, lettering ≥2.5 mm) — see the Drawings register tab. Reading guide: read top-down from the utility incomer through the main board to each feeder; feeder tags and loads match the Panel schedule tab.</t>
  </si>
  <si>
    <t xml:space="preserve">Convention: the schedule below is the single source for the electrical numbers on this tab. On the drawing, a ×N grouped circuit is labelled with its PER-UNIT current (the schedule's Design I is the whole circuit), and the LV system is stated at its 400 V nominal (a legacy '415 V' label names the same UK LV system). Where a drawing label and the schedule differ, the schedule governs.</t>
  </si>
  <si>
    <t xml:space="preserve">⛔ 1 of 23 rows FAIL — single cause: board reference(s) absent from the single-line drawing: MAIN DISTRIBUTION BOARD (TP&amp;N)</t>
  </si>
  <si>
    <t xml:space="preserve">Fix route: route the electrical circuits in the scene (wire the electrical_bus edges) so route-manifest / connection-schedule carry real cable lengths, compute ΔU% = f(length, CSA, Design I) in draw_panel_schedule at source, and generate the single-line + schedule from the ONE distribution dataset so kVA / voltage / board names cannot diverge</t>
  </si>
  <si>
    <t xml:space="preserve">MAIN DISTRIBUTION BOARD (TP&amp;N)</t>
  </si>
  <si>
    <t xml:space="preserve">Field</t>
  </si>
  <si>
    <t xml:space="preserve">Board reference</t>
  </si>
  <si>
    <t xml:space="preserve">Board type</t>
  </si>
  <si>
    <t xml:space="preserve">Main distribution board</t>
  </si>
  <si>
    <t xml:space="preserve">Supply source</t>
  </si>
  <si>
    <t xml:space="preserve">Utility LV incomer (400 V distribution board)</t>
  </si>
  <si>
    <t xml:space="preserve">System</t>
  </si>
  <si>
    <t xml:space="preserve">400 V 3-phase + N (TP&amp;N)</t>
  </si>
  <si>
    <t xml:space="preserve">Busbar rating</t>
  </si>
  <si>
    <t xml:space="preserve">100 A</t>
  </si>
  <si>
    <t xml:space="preserve">Incoming feeder</t>
  </si>
  <si>
    <t xml:space="preserve">1.5 mm² · 20.0 m · ΔU 0.142%</t>
  </si>
  <si>
    <t xml:space="preserve">Total connected load</t>
  </si>
  <si>
    <t xml:space="preserve">45.2 kW</t>
  </si>
  <si>
    <t xml:space="preserve">Board demand (busbar)</t>
  </si>
  <si>
    <t xml:space="preserve">87 A</t>
  </si>
  <si>
    <t xml:space="preserve">Ckt</t>
  </si>
  <si>
    <t xml:space="preserve">Description</t>
  </si>
  <si>
    <t xml:space="preserve">Ways</t>
  </si>
  <si>
    <t xml:space="preserve">Conn. load (kW)</t>
  </si>
  <si>
    <t xml:space="preserve">Design I (A)</t>
  </si>
  <si>
    <t xml:space="preserve">Protective device</t>
  </si>
  <si>
    <t xml:space="preserve">Cable (CSA · cores)</t>
  </si>
  <si>
    <t xml:space="preserve">Length (m)</t>
  </si>
  <si>
    <t xml:space="preserve">ΔU (%)</t>
  </si>
  <si>
    <t xml:space="preserve">In spec</t>
  </si>
  <si>
    <t xml:space="preserve">Audit: device rating (A)</t>
  </si>
  <si>
    <t xml:space="preserve">Audit: Iz (A) — BS 7671 Method-C ampacity</t>
  </si>
  <si>
    <t xml:space="preserve">Audit: kW (parsed per-unit)</t>
  </si>
  <si>
    <t xml:space="preserve">Audit: Design I (parsed)</t>
  </si>
  <si>
    <t xml:space="preserve">W1</t>
  </si>
  <si>
    <t xml:space="preserve">6 A MCB (sized)</t>
  </si>
  <si>
    <t xml:space="preserve">1.5 mm² · 3c+E</t>
  </si>
  <si>
    <t xml:space="preserve">W2</t>
  </si>
  <si>
    <t xml:space="preserve">W3</t>
  </si>
  <si>
    <t xml:space="preserve">10 A MCB (sized)</t>
  </si>
  <si>
    <t xml:space="preserve">W4–5</t>
  </si>
  <si>
    <t xml:space="preserve">7.50 (×2=15.0)</t>
  </si>
  <si>
    <t xml:space="preserve">16 A MCB (sized)</t>
  </si>
  <si>
    <t xml:space="preserve">W6</t>
  </si>
  <si>
    <t xml:space="preserve">W7–8</t>
  </si>
  <si>
    <t xml:space="preserve">1.92 (×2=3.8)</t>
  </si>
  <si>
    <t xml:space="preserve">W9–10</t>
  </si>
  <si>
    <t xml:space="preserve">0.60 (×2=1.2)</t>
  </si>
  <si>
    <t xml:space="preserve">W11</t>
  </si>
  <si>
    <t xml:space="preserve">Irrigation / nutrient pump</t>
  </si>
  <si>
    <t xml:space="preserve">20 A MCB (sized)</t>
  </si>
  <si>
    <t xml:space="preserve">W12</t>
  </si>
  <si>
    <t xml:space="preserve">W13</t>
  </si>
  <si>
    <t xml:space="preserve">W14</t>
  </si>
  <si>
    <t xml:space="preserve">W15</t>
  </si>
  <si>
    <t xml:space="preserve">W16</t>
  </si>
  <si>
    <t xml:space="preserve">W17</t>
  </si>
  <si>
    <t xml:space="preserve">W18</t>
  </si>
  <si>
    <t xml:space="preserve">W19</t>
  </si>
  <si>
    <t xml:space="preserve">W20</t>
  </si>
  <si>
    <t xml:space="preserve">Digital Control Panel  (control / aux feeder)</t>
  </si>
  <si>
    <t xml:space="preserve">TOTALS</t>
  </si>
  <si>
    <t xml:space="preserve">Main Switchboard</t>
  </si>
  <si>
    <t xml:space="preserve">Sub-distribution board</t>
  </si>
  <si>
    <t xml:space="preserve">Local sub-distribution (MV feeder → local step-down transformer)</t>
  </si>
  <si>
    <t xml:space="preserve">20 A</t>
  </si>
  <si>
    <t xml:space="preserve">1.5 mm² · 5.9 m · ΔU 0.042%</t>
  </si>
  <si>
    <t xml:space="preserve">9.7 kW</t>
  </si>
  <si>
    <t xml:space="preserve">18 A</t>
  </si>
  <si>
    <t xml:space="preserve">Board &amp; drawing reconciliation — contract checks (scored with the circuit rows above). These compare TWO ARTEFACTS (schedule ↔ single-line drawing ↔ contract): each side's value is EMBEDDED on the 'Audit data' sheet with its provenance, and the Row check is a live formula over those operand cells.</t>
  </si>
  <si>
    <t xml:space="preserve">Check</t>
  </si>
  <si>
    <t xml:space="preserve">Measured / compared</t>
  </si>
  <si>
    <t xml:space="preserve">MAIN DISTRIBUTION BOARD (TP&amp;N) · [board reconciliation]</t>
  </si>
  <si>
    <t xml:space="preserve">Σ circuit design current 87 A vs busbar demand 87 A (ratio 1); busbar rating: 100 A</t>
  </si>
  <si>
    <t xml:space="preserve">Main Switchboard · [board reconciliation]</t>
  </si>
  <si>
    <t xml:space="preserve">Σ circuit design current 18 A vs busbar demand 18 A (ratio 1); busbar rating: 20 A</t>
  </si>
  <si>
    <t xml:space="preserve">single-line ↔ schedule · system voltage</t>
  </si>
  <si>
    <t xml:space="preserve">schedule system 400 V 3-phase; drawing voltages: 11000/400 V, 400 V</t>
  </si>
  <si>
    <t xml:space="preserve">single-line ↔ schedule · board hierarchy</t>
  </si>
  <si>
    <t xml:space="preserve">schedule boards: MAIN DISTRIBUTION BOARD (TP&amp;N), Main Switchboard</t>
  </si>
  <si>
    <t xml:space="preserve">single-line ↔ schedule · transformer kVA</t>
  </si>
  <si>
    <t xml:space="preserve">drawing transformer 75.0 kVA vs contract quantity 75.0 kVA</t>
  </si>
  <si>
    <t xml:space="preserve">Line &amp; velocity schedule</t>
  </si>
  <si>
    <t xml:space="preserve">Every sized run, SPLIT so units never mix: process-pipe lines (flow, velocity vs the erosion band) · electrical &amp; signal cables (current A, volt-drop band) · other services. Velocity is COMPUTED (the sizer's as-sized value when it carried a real flow, else v = Q ÷ A from the endpoint-matched contract flow over the sizer's DN bore); 'In spec' is the computed band comparison — never a default tick. Basis shows the flow/velocity derivation + how each Line £ is built. ROW CHECK CONTRACT (score = 10 × rows-passing ÷ rows = 10 × 71/74 = 9.6): Tag/From/To/Size=required_nonempty · Rating=computed · Velocity / ΔU=computed · Spec limit=required_nonempty · In spec=computed · Length (m)=required_nonempty · Line £ + Basis=required_nonempty. A dash / empty / unverifiable contracted cell FAILS its row — honest red beats fake green.</t>
  </si>
  <si>
    <t xml:space="preserve">⛔ 3 of 74 rows FAIL — top causes: 2× velocity underivable — no flow demand on the edge and no contract flow/throughput quantity matches either endpoint; 1× no carried current on the run; ΔU% missing — volt-drop unverifiable (dash is never in-spec)</t>
  </si>
  <si>
    <t xml:space="preserve">Fix route: author the real flow demand (required_value) on every fluid topology edge at source (universal-contract-sizing → connection ledger) so connection_sizing sizes bores from true flows; the schedule then carries computed velocities and the band check passes on the re-sized lines</t>
  </si>
  <si>
    <t xml:space="preserve">Process pipe lines — flow (m³/s) · velocity limit ≤ 3 m/s</t>
  </si>
  <si>
    <t xml:space="preserve">Basis note — common to the rows below (factored out of the per-row cells): cost model: model:uk-2026-supply+install</t>
  </si>
  <si>
    <t xml:space="preserve">From</t>
  </si>
  <si>
    <t xml:space="preserve">To</t>
  </si>
  <si>
    <t xml:space="preserve">Rating</t>
  </si>
  <si>
    <t xml:space="preserve">Velocity / ΔU</t>
  </si>
  <si>
    <t xml:space="preserve">Spec limit</t>
  </si>
  <si>
    <t xml:space="preserve">Audit: band</t>
  </si>
  <si>
    <t xml:space="preserve">201-PR-DN65</t>
  </si>
  <si>
    <t xml:space="preserve">DN65</t>
  </si>
  <si>
    <t xml:space="preserve">14.5 m3/h</t>
  </si>
  <si>
    <t xml:space="preserve">≤3 m/s velocity</t>
  </si>
  <si>
    <t xml:space="preserve">DN65 pipe, 10.8 m, ΔP≈2.9 kPa · £60/m × 10.8 m · install £647 · as-sized by connection_sizing (post-upsize) from 14.5 m3/h</t>
  </si>
  <si>
    <t xml:space="preserve">202-PR-DN125</t>
  </si>
  <si>
    <t xml:space="preserve">DN125</t>
  </si>
  <si>
    <t xml:space="preserve">45 m3/h</t>
  </si>
  <si>
    <t xml:space="preserve">DN125 pipe, 20.4 m, ΔP≈1.3 kPa · £130/m × 20.4 m · install £2,648 · as-sized by connection_sizing (post-upsize) from 45 m3/h</t>
  </si>
  <si>
    <t xml:space="preserve">203-PR-DN50</t>
  </si>
  <si>
    <t xml:space="preserve">DN50</t>
  </si>
  <si>
    <t xml:space="preserve">11 m3/h</t>
  </si>
  <si>
    <t xml:space="preserve">DN50 pipe, 21.5 m, ΔP≈8.3 kPa · £48/m × 21.5 m · install £1,033 · as-sized by connection_sizing (post-upsize) from 11 m3/h</t>
  </si>
  <si>
    <t xml:space="preserve">204-PR-DN125</t>
  </si>
  <si>
    <t xml:space="preserve">DN125 pipe, 22.1 m, ΔP≈1.4 kPa · £130/m × 22.1 m · install £2,878 · as-sized by connection_sizing (post-upsize) from 45 m3/h</t>
  </si>
  <si>
    <t xml:space="preserve">205-PR-DN50</t>
  </si>
  <si>
    <t xml:space="preserve">DN50 pipe, 30.9 m, ΔP≈12.0 kPa · £48/m × 30.9 m · install £1,483 · as-sized by connection_sizing (post-upsize) from 11 m3/h</t>
  </si>
  <si>
    <t xml:space="preserve">206-PR-DN125</t>
  </si>
  <si>
    <t xml:space="preserve">DN125 pipe, 35.1 m, ΔP≈2.3 kPa · £130/m × 35.1 m · install £4,567 · as-sized by connection_sizing (post-upsize) from 45 m3/h</t>
  </si>
  <si>
    <t xml:space="preserve">207-PR-DN150</t>
  </si>
  <si>
    <t xml:space="preserve">DN150</t>
  </si>
  <si>
    <t xml:space="preserve">80 m3/h</t>
  </si>
  <si>
    <t xml:space="preserve">DN150 pipe, 18.6 m, ΔP≈1.4 kPa · £165/m × 18.6 m · install £3,066 · as-sized by connection_sizing (post-upsize) from 80 m3/h</t>
  </si>
  <si>
    <t xml:space="preserve">208-PR-DN125</t>
  </si>
  <si>
    <t xml:space="preserve">DN125 pipe, 23.5 m, ΔP≈1.5 kPa · £130/m × 23.5 m · install £3,050 · as-sized by connection_sizing (post-upsize) from 45 m3/h</t>
  </si>
  <si>
    <t xml:space="preserve">209-PR-DN150</t>
  </si>
  <si>
    <t xml:space="preserve">90 m3/h</t>
  </si>
  <si>
    <t xml:space="preserve">DN150 pipe, 20.7 m, ΔP≈2.0 kPa · £165/m × 20.7 m · install £3,414 · as-sized by connection_sizing (post-upsize) from 90 m3/h</t>
  </si>
  <si>
    <t xml:space="preserve">210-PR-DN125</t>
  </si>
  <si>
    <t xml:space="preserve">DN125 pipe, 29.6 m, ΔP≈1.9 kPa · £130/m × 29.6 m · install £3,847 · as-sized by connection_sizing (post-upsize) from 45 m3/h</t>
  </si>
  <si>
    <t xml:space="preserve">211-PR-DN125</t>
  </si>
  <si>
    <t xml:space="preserve">DN125 pipe, 27.7 m, ΔP≈1.8 kPa · £130/m × 27.7 m · install £3,602 · as-sized by connection_sizing (post-upsize) from 45 m3/h</t>
  </si>
  <si>
    <t xml:space="preserve">212-WT-DN125</t>
  </si>
  <si>
    <t xml:space="preserve">DN125 pipe, 11.7 m, ΔP≈0.8 kPa · £130/m × 11.7 m · install £1,526 · as-sized by connection_sizing (post-upsize) from 45 m3/h</t>
  </si>
  <si>
    <t xml:space="preserve">213-PR-DN150</t>
  </si>
  <si>
    <t xml:space="preserve">DN150 pipe, 22.4 m, ΔP≈2.1 kPa · £165/m × 22.4 m · install £3,694 · as-sized by connection_sizing (post-upsize) from 90 m3/h</t>
  </si>
  <si>
    <t xml:space="preserve">214-PR-DN65</t>
  </si>
  <si>
    <t xml:space="preserve">DN65 pipe, 9.0 m, ΔP≈2.4 kPa · £60/m × 8.9 m · install £537 · as-sized by connection_sizing (post-upsize) from 14.5 m3/h</t>
  </si>
  <si>
    <t xml:space="preserve">215-WT-DN80</t>
  </si>
  <si>
    <t xml:space="preserve">DN80</t>
  </si>
  <si>
    <t xml:space="preserve">25 m3/h</t>
  </si>
  <si>
    <t xml:space="preserve">DN80 pipe, 29.4 m, ΔP≈7.4 kPa · £74/m × 29.4 m · install £2,174 · as-sized by connection_sizing (post-upsize) from 25 m3/h</t>
  </si>
  <si>
    <t xml:space="preserve">216-PR-DN150</t>
  </si>
  <si>
    <t xml:space="preserve">DN150 pipe, 19.5 m, ΔP≈1.5 kPa · £165/m × 19.5 m · install £3,211 · as-sized by connection_sizing (post-upsize) from 80 m3/h</t>
  </si>
  <si>
    <t xml:space="preserve">217-PR-DN65</t>
  </si>
  <si>
    <t xml:space="preserve">DN65 pipe, 9.4 m, ΔP≈2.5 kPa · £60/m × 9.4 m · install £563 · as-sized by connection_sizing (post-upsize) from 14.5 m3/h</t>
  </si>
  <si>
    <t xml:space="preserve">218-PR-DN150</t>
  </si>
  <si>
    <t xml:space="preserve">DN150 pipe, 26.7 m, ΔP≈2.5 kPa · £165/m × 26.7 m · install £4,402 · as-sized by connection_sizing (post-upsize) from 90 m3/h</t>
  </si>
  <si>
    <t xml:space="preserve">219-PR-DN125</t>
  </si>
  <si>
    <t xml:space="preserve">DN125 pipe, 3.7 m, ΔP≈0.2 kPa · £130/m × 3.7 m · install £485 · as-sized by connection_sizing (post-upsize) from 45 m3/h</t>
  </si>
  <si>
    <t xml:space="preserve">220-PR-DN50</t>
  </si>
  <si>
    <t xml:space="preserve">DN50 pipe, 30.4 m, ΔP≈11.8 kPa · £48/m × 30.4 m · install £1,460 · as-sized by connection_sizing (post-upsize) from 11 m3/h</t>
  </si>
  <si>
    <t xml:space="preserve">221-PR-DN125</t>
  </si>
  <si>
    <t xml:space="preserve">DN125 pipe, 24.0 m, ΔP≈1.6 kPa · £130/m × 24.0 m · install £3,117 · as-sized by connection_sizing (post-upsize) from 45 m3/h</t>
  </si>
  <si>
    <t xml:space="preserve">222-PR-DN125</t>
  </si>
  <si>
    <t xml:space="preserve">DN125 pipe, 8.6 m, ΔP≈0.6 kPa · £130/m × 8.6 m · install £1,117 · as-sized by connection_sizing (post-upsize) from 45 m3/h</t>
  </si>
  <si>
    <t xml:space="preserve">223-PR-DN32</t>
  </si>
  <si>
    <t xml:space="preserve">DN32</t>
  </si>
  <si>
    <t xml:space="preserve">4 m3/h</t>
  </si>
  <si>
    <t xml:space="preserve">DN32 pipe, 20.3 m, ΔP≈8.9 kPa · £34/m × 20.3 m · install £691 · as-sized by connection_sizing (post-upsize) from 4 m3/h</t>
  </si>
  <si>
    <t xml:space="preserve">224-PR-DN32</t>
  </si>
  <si>
    <t xml:space="preserve">DN32 pipe, 23.9 m, ΔP≈10.5 kPa · £34/m × 23.9 m · install £814 · as-sized by connection_sizing (post-upsize) from 4 m3/h</t>
  </si>
  <si>
    <t xml:space="preserve">225-WT-DN125</t>
  </si>
  <si>
    <t xml:space="preserve">DN125 pipe, 27.5 m, ΔP≈1.8 kPa · £130/m × 27.5 m · install £3,580 · as-sized by connection_sizing (post-upsize) from 45 m3/h</t>
  </si>
  <si>
    <t xml:space="preserve">226-PR-DN32</t>
  </si>
  <si>
    <t xml:space="preserve">DN32 pipe, 27.5 m, ΔP≈12.0 kPa · £34/m × 27.5 m · install £936 · as-sized by connection_sizing (post-upsize) from 4 m3/h</t>
  </si>
  <si>
    <t xml:space="preserve">227-PR-DN32</t>
  </si>
  <si>
    <t xml:space="preserve">DN32 pipe, 3.3 m, ΔP≈1.5 kPa · £34/m × 3.3 m · install £113 · as-sized by connection_sizing (post-upsize) from 4 m3/h</t>
  </si>
  <si>
    <t xml:space="preserve">228-PR-DN125</t>
  </si>
  <si>
    <t xml:space="preserve">DN125 pipe, 20.6 m, ΔP≈1.3 kPa · £130/m × 20.6 m · install £2,683 · as-sized by connection_sizing (post-upsize) from 45 m3/h</t>
  </si>
  <si>
    <t xml:space="preserve">229-WT-DN32</t>
  </si>
  <si>
    <t xml:space="preserve">DN32 pipe, 13.9 m, ΔP≈6.1 kPa · £34/m × 13.9 m · install £472 · as-sized by connection_sizing (post-upsize) from 4 m3/h</t>
  </si>
  <si>
    <t xml:space="preserve">230-PR-DN125</t>
  </si>
  <si>
    <t xml:space="preserve">DN125 pipe, 24.5 m, ΔP≈1.6 kPa · £130/m × 24.5 m · install £3,182 · as-sized by connection_sizing (post-upsize) from 45 m3/h</t>
  </si>
  <si>
    <t xml:space="preserve">231-WT-DN25</t>
  </si>
  <si>
    <t xml:space="preserve">DN25 (nominal — flow unknown)</t>
  </si>
  <si>
    <t xml:space="preserve">UNVERIFIED</t>
  </si>
  <si>
    <t xml:space="preserve">≤3 m/s velocity (UNVERIFIED — no flow demand)</t>
  </si>
  <si>
    <t xml:space="preserve">DN25 nominal pipe, 3.9 m (flow unknown) · £28/m × 3.9 m · install £109</t>
  </si>
  <si>
    <t xml:space="preserve">velocity underivable — no flow demand on the edge and no contract flow/throughput quantity matches either endpoint</t>
  </si>
  <si>
    <t xml:space="preserve">232-WT-DN150</t>
  </si>
  <si>
    <t xml:space="preserve">DN150 pipe, 24.7 m, ΔP≈2.3 kPa · £99/m × 24.7 m · install £2,449 · as-sized by connection_sizing (post-upsize) from 90 m3/h</t>
  </si>
  <si>
    <t xml:space="preserve">233-WT-DN125</t>
  </si>
  <si>
    <t xml:space="preserve">DN125 pipe, 27.2 m, ΔP≈1.8 kPa · £130/m × 27.2 m · install £3,540 · as-sized by connection_sizing (post-upsize) from 45 m3/h</t>
  </si>
  <si>
    <t xml:space="preserve">234-WT-DN125</t>
  </si>
  <si>
    <t xml:space="preserve">DN125 pipe, 36.5 m, ΔP≈2.4 kPa · £130/m × 36.5 m · install £4,750 · as-sized by connection_sizing (post-upsize) from 45 m3/h</t>
  </si>
  <si>
    <t xml:space="preserve">235-WT-DN25</t>
  </si>
  <si>
    <t xml:space="preserve">DN25 nominal pipe, 20.0 m (flow unknown) · £28/m × 20.0 m · install £559</t>
  </si>
  <si>
    <t xml:space="preserve">236-WT-DN80</t>
  </si>
  <si>
    <t xml:space="preserve">DN80 pipe, 29.6 m, ΔP≈7.5 kPa · £74/m × 29.6 m · install £2,193 · as-sized by connection_sizing (post-upsize) from 25 m3/h</t>
  </si>
  <si>
    <t xml:space="preserve">237-PR-DN125</t>
  </si>
  <si>
    <t xml:space="preserve">DN125 pipe, 19.4 m, ΔP≈1.3 kPa · £130/m × 19.4 m · install £2,518 · as-sized by connection_sizing (post-upsize) from 45 m3/h</t>
  </si>
  <si>
    <t xml:space="preserve">238-WT-DN150</t>
  </si>
  <si>
    <t xml:space="preserve">DN150 pipe, 6.5 m, ΔP≈0.6 kPa · £165/m × 6.5 m · install £1,079 · as-sized by connection_sizing (post-upsize) from 90 m3/h</t>
  </si>
  <si>
    <t xml:space="preserve">239-WT-DN125</t>
  </si>
  <si>
    <t xml:space="preserve">DN125 pipe, 33.5 m, ΔP≈2.2 kPa · £130/m × 33.5 m · install £4,355 · as-sized by connection_sizing (post-upsize) from 45 m3/h</t>
  </si>
  <si>
    <t xml:space="preserve">240-PR-DN125</t>
  </si>
  <si>
    <t xml:space="preserve">DN125 pipe, 1.9 m, ΔP≈0.1 kPa · £130/m × 1.9 m · install £243 · as-sized by connection_sizing (post-upsize) from 45 m3/h</t>
  </si>
  <si>
    <t xml:space="preserve">241-PR-DN125</t>
  </si>
  <si>
    <t xml:space="preserve">DN125 pipe, 31.1 m, ΔP≈2.0 kPa · £130/m × 31.1 m · install £4,038 · as-sized by connection_sizing (post-upsize) from 45 m3/h</t>
  </si>
  <si>
    <t xml:space="preserve">1.35 m3/h</t>
  </si>
  <si>
    <t xml:space="preserve">DN20 pipe, 20.6 m, ΔP≈15.4 kPa · £13/m × 20.6 m · install £272 · as-sized by connection_sizing (post-upsize) from 1.35 m3/h</t>
  </si>
  <si>
    <t xml:space="preserve">243-PR-DN32</t>
  </si>
  <si>
    <t xml:space="preserve">DN32 pipe, 45.0 m, ΔP≈19.6 kPa · £34/m × 45.0 m · install £1,529 · as-sized by connection_sizing (post-upsize) from 4 m3/h</t>
  </si>
  <si>
    <t xml:space="preserve">244-PR-DN50</t>
  </si>
  <si>
    <t xml:space="preserve">8 m3/h</t>
  </si>
  <si>
    <t xml:space="preserve">DN50 pipe, 21.2 m, ΔP≈4.6 kPa · £48/m × 21.2 m · install £1,019 · as-sized by connection_sizing (post-upsize) from 8 m3/h</t>
  </si>
  <si>
    <t xml:space="preserve">245-PR-DN125</t>
  </si>
  <si>
    <t xml:space="preserve">DN125 pipe, 7.5 m, ΔP≈0.5 kPa · £130/m × 7.5 m · install £970 · as-sized by connection_sizing (post-upsize) from 45 m3/h</t>
  </si>
  <si>
    <t xml:space="preserve">246-PR-DN125</t>
  </si>
  <si>
    <t xml:space="preserve">DN125 pipe, 31.6 m, ΔP≈2.1 kPa · £130/m × 31.6 m · install £4,108 · as-sized by connection_sizing (post-upsize) from 45 m3/h</t>
  </si>
  <si>
    <t xml:space="preserve">247-PR-DN125</t>
  </si>
  <si>
    <t xml:space="preserve">DN125 pipe, 32.6 m, ΔP≈2.1 kPa · £130/m × 32.6 m · install £4,239 · as-sized by connection_sizing (post-upsize) from 45 m3/h</t>
  </si>
  <si>
    <t xml:space="preserve">248-PR-DN125</t>
  </si>
  <si>
    <t xml:space="preserve">DN125 pipe, 11.8 m, ΔP≈0.8 kPa · £130/m × 11.8 m · install £1,539 · as-sized by connection_sizing (post-upsize) from 45 m3/h</t>
  </si>
  <si>
    <t xml:space="preserve">Σ Process pipe lines</t>
  </si>
  <si>
    <t xml:space="preserve">Electrical &amp; signal cables — current (A) · volt-drop limit ≤ 5 %</t>
  </si>
  <si>
    <t xml:space="preserve">1.5 mm²</t>
  </si>
  <si>
    <t xml:space="preserve">4.2 A</t>
  </si>
  <si>
    <t xml:space="preserve">≤5% volt-drop</t>
  </si>
  <si>
    <t xml:space="preserve">1 × 1.5 mm² Cu, 10.2 m · £3/m × 10.2 m · install £31 · volt-drop at 4.2 A over 10.17 m</t>
  </si>
  <si>
    <t xml:space="preserve">1 × 1.5 mm² Cu, 8.4 m · £3/m × 8.4 m · install £25 · volt-drop at 4.2 A over 8.4 m</t>
  </si>
  <si>
    <t xml:space="preserve">1 × 1.5 mm² Cu, 5.9 m · £3/m × 5.9 m · install £18 · volt-drop at 4.2 A over 5.88 m</t>
  </si>
  <si>
    <t xml:space="preserve">1 × 1.5 mm² Cu, 20.0 m · £3/m × 20.0 m · install £60 · volt-drop at 4.2 A over 20.0 m</t>
  </si>
  <si>
    <t xml:space="preserve">1 × 1.5 mm² Cu, 5.7 m · £3/m × 5.7 m · install £17 · volt-drop at 4.2 A over 5.73 m</t>
  </si>
  <si>
    <t xml:space="preserve">1 × 1.5 mm² Cu, 25.8 m · £3/m × 25.8 m · install £78 · volt-drop at 4.2 A over 25.84 m</t>
  </si>
  <si>
    <t xml:space="preserve">8.2 A</t>
  </si>
  <si>
    <t xml:space="preserve">1 × 1.5 mm² Cu, 24.9 m · £3/m × 24.9 m · install £75 · volt-drop at 8.2 A over 24.87 m</t>
  </si>
  <si>
    <t xml:space="preserve">49</t>
  </si>
  <si>
    <t xml:space="preserve">15 A</t>
  </si>
  <si>
    <t xml:space="preserve">1 × 1.5 mm² Cu, 23.7 m · £3/m × 23.7 m · install £71 · volt-drop at 15 A over 23.74 m</t>
  </si>
  <si>
    <t xml:space="preserve">50</t>
  </si>
  <si>
    <t xml:space="preserve">1 × 1.5 mm² Cu, 31.2 m · £3/m × 31.2 m · install £94 · volt-drop at 4.2 A over 31.25 m</t>
  </si>
  <si>
    <t xml:space="preserve">51</t>
  </si>
  <si>
    <t xml:space="preserve">3.9 A</t>
  </si>
  <si>
    <t xml:space="preserve">1 × 1.5 mm² Cu, 27.3 m · £3/m × 27.3 m · install £82 · volt-drop at 3.9 A over 27.34 m</t>
  </si>
  <si>
    <t xml:space="preserve">52</t>
  </si>
  <si>
    <t xml:space="preserve">1 × 1.5 mm² Cu, 21.2 m · £3/m × 21.2 m · install £64 · volt-drop at 4.2 A over 21.22 m</t>
  </si>
  <si>
    <t xml:space="preserve">53</t>
  </si>
  <si>
    <t xml:space="preserve">1 × 1.5 mm² Cu, 28.0 m · £3/m × 28.1 m · install £84 · volt-drop at 4.2 A over 28.05 m</t>
  </si>
  <si>
    <t xml:space="preserve">54</t>
  </si>
  <si>
    <t xml:space="preserve">8.4 A</t>
  </si>
  <si>
    <t xml:space="preserve">1 × 1.5 mm² Cu, 32.4 m · £3/m × 32.4 m · install £97 · volt-drop at 8.4 A over 32.43 m</t>
  </si>
  <si>
    <t xml:space="preserve">55</t>
  </si>
  <si>
    <t xml:space="preserve">1 × 1.5 mm² Cu, 33.7 m · £3/m × 33.7 m · install £101 · volt-drop at 4.2 A over 33.68 m</t>
  </si>
  <si>
    <t xml:space="preserve">56</t>
  </si>
  <si>
    <t xml:space="preserve">1 × 1.5 mm² Cu, 10.5 m · £3/m × 10.5 m · install £32 · volt-drop at 4.2 A over 10.54 m</t>
  </si>
  <si>
    <t xml:space="preserve">57</t>
  </si>
  <si>
    <t xml:space="preserve">1 × 1.5 mm² Cu, 7.5 m · £3/m × 7.5 m · install £23 · volt-drop at 4.2 A over 7.54 m</t>
  </si>
  <si>
    <t xml:space="preserve">65</t>
  </si>
  <si>
    <t xml:space="preserve">1 × 1.5 mm² Cu, 3.6 m · £3/m × 3.6 m · install £11 · volt-drop at 4.2 A over 3.59 m</t>
  </si>
  <si>
    <t xml:space="preserve">66</t>
  </si>
  <si>
    <t xml:space="preserve">0.5 A</t>
  </si>
  <si>
    <t xml:space="preserve">1 × 1.5 mm² Cu, 2.9 m · £3/m × 2.9 m · install £9 · volt-drop at 0.5 A over 2.89 m</t>
  </si>
  <si>
    <t xml:space="preserve">67</t>
  </si>
  <si>
    <t xml:space="preserve">1 × 1.5 mm² Cu, 3.6 m · £3/m × 3.6 m · install £11 · volt-drop at 4.2 A over 3.62 m</t>
  </si>
  <si>
    <t xml:space="preserve">68</t>
  </si>
  <si>
    <t xml:space="preserve">1 × 1.5 mm² Cu, 2.5 m · £3/m × 2.5 m · install £7 · volt-drop at 0.5 A over 2.46 m</t>
  </si>
  <si>
    <t xml:space="preserve">69</t>
  </si>
  <si>
    <t xml:space="preserve">1 × 1.5 mm² Cu, 3.6 m · £3/m × 3.3 m · install £10 · volt-drop at 4.2 A over 3.26 m</t>
  </si>
  <si>
    <t xml:space="preserve">70</t>
  </si>
  <si>
    <t xml:space="preserve">1 × 1.5 mm² Cu, 3.5 m · £3/m × 3.5 m · install £11 · volt-drop at 0.5 A over 3.54 m</t>
  </si>
  <si>
    <t xml:space="preserve">71</t>
  </si>
  <si>
    <t xml:space="preserve">1 × 1.5 mm² Cu, 27.0 m · £3/m × 27.0 m · install £81 · volt-drop at 0.5 A over 26.99 m</t>
  </si>
  <si>
    <t xml:space="preserve">72</t>
  </si>
  <si>
    <t xml:space="preserve">1 × 1.5 mm² Cu, 28.0 m · £3/m × 28.0 m · install £84 · volt-drop at 4.2 A over 27.98 m</t>
  </si>
  <si>
    <t xml:space="preserve">73</t>
  </si>
  <si>
    <t xml:space="preserve">1 × 1.5 mm² Cu, 27.9 m · £3/m × 27.9 m · install £84 · volt-drop at 0.5 A over 27.87 m</t>
  </si>
  <si>
    <t xml:space="preserve">74</t>
  </si>
  <si>
    <t xml:space="preserve">(unsized — no design current)</t>
  </si>
  <si>
    <t xml:space="preserve">≤5% volt-drop (UNVERIFIED — no design current)</t>
  </si>
  <si>
    <t xml:space="preserve">power feeder, 3.8 m (design current unknown) · £3/m × 3.8 m · install £11</t>
  </si>
  <si>
    <t xml:space="preserve">no carried current on the run; ΔU% missing — volt-drop unverifiable (dash is never in-spec)</t>
  </si>
  <si>
    <t xml:space="preserve">Σ Electrical &amp; signal cables</t>
  </si>
  <si>
    <t xml:space="preserve">Rows FAILING the column contract (all sections, live count)</t>
  </si>
  <si>
    <t xml:space="preserve">Assembly &amp; erection sequence — derived from this design</t>
  </si>
  <si>
    <t xml:space="preserve">Order of works DERIVED FROM THE DESIGN: civils sized from the placed-plant footprint, one erection step per process region (GA order) with equipment grouped by module, pipework/electrical quantified from the connection schedule, and durations from the group counts × the unit norms footnoted below (ESTIMATE). Hold / witness points gate each step. A site-specific construction phase plan (CDM) is still required before works begin.</t>
  </si>
  <si>
    <t xml:space="preserve">LARGEST LIFT: Fresh Water Tank [TK-108] at 656 kg (heaviest vessel mass in the bill of materials) → 20 t mobile crane (or lorry-mounted HIAB). Rule (ESTIMATE): crane rated ≥5× the load at a ~10 m working radius.</t>
  </si>
  <si>
    <t xml:space="preserve">Phase / activity</t>
  </si>
  <si>
    <t xml:space="preserve">Scope — equipment groups (tags)</t>
  </si>
  <si>
    <t xml:space="preserve">Predecessor</t>
  </si>
  <si>
    <t xml:space="preserve">Lifting plant</t>
  </si>
  <si>
    <t xml:space="preserve">Duration</t>
  </si>
  <si>
    <t xml:space="preserve">Hold / witness point</t>
  </si>
  <si>
    <t xml:space="preserve">Site set-out &amp; civils</t>
  </si>
  <si>
    <t xml:space="preserve">Ground-bearing slab 22.1 × 24.4 m (539.6 m², from the placed-plant footprint) + plinths, bunds &amp; drainage falls</t>
  </si>
  <si>
    <t xml:space="preserve">Site handover</t>
  </si>
  <si>
    <t xml:space="preserve">Excavator, concrete pump</t>
  </si>
  <si>
    <t xml:space="preserve">~13.5 crew-days (ESTIMATE)</t>
  </si>
  <si>
    <t xml:space="preserve">Set-out survey + concrete cube tests signed off</t>
  </si>
  <si>
    <t xml:space="preserve">Erect &amp; set — Maintenance serviceability</t>
  </si>
  <si>
    <t xml:space="preserve">Cip System X-101; Cip Tank TK-101; Cleaning Tank TK-102</t>
  </si>
  <si>
    <t xml:space="preserve">Civils complete &amp; cured</t>
  </si>
  <si>
    <t xml:space="preserve">20 t mobile crane (or lorry-mounted HIAB)</t>
  </si>
  <si>
    <t xml:space="preserve">~1 crew-day (ESTIMATE)</t>
  </si>
  <si>
    <t xml:space="preserve">Vessel hydrostatic (leak) test witnessed; machines: alignment + rotation (bump) test</t>
  </si>
  <si>
    <t xml:space="preserve">Erect &amp; set — Mass fluid transport process</t>
  </si>
  <si>
    <t xml:space="preserve">8× Nutrient Tank TK-103, TK-104, TK-105, TK-109 (+4 more) — see GA; 2× Cloth Filter V-103, V-104; 2× Drain Collection Sump TK-114, TK-115; 2× Drain Transfer Pump P-104, P-105; 2× Drain Water Tank TK-106, TK-107; 2× Fertigation Dosing Pump P-106, P-107; 2× Softener Vessel V-106, V-107; Distribution Manifold M-101; Fresh Water Tank TK-108; Gac Filter V-101; (+9 more groups, 9 items — see GA)</t>
  </si>
  <si>
    <t xml:space="preserve">Erect &amp; set — Maintenance serviceability set</t>
  </si>
  <si>
    <t xml:space="preserve">~10 crew-days (ESTIMATE)</t>
  </si>
  <si>
    <t xml:space="preserve">Erect &amp; set — Structure containment</t>
  </si>
  <si>
    <t xml:space="preserve">Transformer TX-101</t>
  </si>
  <si>
    <t xml:space="preserve">Erect &amp; set — Mass fluid transport process set</t>
  </si>
  <si>
    <t xml:space="preserve">Forklift / pallet truck</t>
  </si>
  <si>
    <t xml:space="preserve">~0.5 crew-days (ESTIMATE)</t>
  </si>
  <si>
    <t xml:space="preserve">Alignment + rotation (bump) test recorded</t>
  </si>
  <si>
    <t xml:space="preserve">Erect &amp; set — Energy storage source</t>
  </si>
  <si>
    <t xml:space="preserve">Main Switchboard EP-101; Mains Incomer EP-102</t>
  </si>
  <si>
    <t xml:space="preserve">Erect &amp; set — Structure containment set</t>
  </si>
  <si>
    <t xml:space="preserve">Erect &amp; set — Environmental interface</t>
  </si>
  <si>
    <t xml:space="preserve">Concentrate Outlet X-103; Permeate Outlet X-104</t>
  </si>
  <si>
    <t xml:space="preserve">Erect &amp; set — Energy storage source set</t>
  </si>
  <si>
    <t xml:space="preserve">Erect &amp; set — Power distribution</t>
  </si>
  <si>
    <t xml:space="preserve">3 Phase Power Input D-101; Control + Instrument UPS U-201; Electrical Control Panel X-105; Motor Control Center EP-104; SCADA / Plant Control System EP-103; Standby Diesel Generator G-201</t>
  </si>
  <si>
    <t xml:space="preserve">Erect &amp; set — Environmental interface set</t>
  </si>
  <si>
    <t xml:space="preserve">~1.5 crew-days (ESTIMATE)</t>
  </si>
  <si>
    <t xml:space="preserve">Erect &amp; set — Control compute communication</t>
  </si>
  <si>
    <t xml:space="preserve">Digital Control Panel I-103</t>
  </si>
  <si>
    <t xml:space="preserve">Erect &amp; set — Power distribution set</t>
  </si>
  <si>
    <t xml:space="preserve">Erect &amp; set — Safety protection</t>
  </si>
  <si>
    <t xml:space="preserve">Electrical Control Cabinet I-102</t>
  </si>
  <si>
    <t xml:space="preserve">Erect &amp; set — Control compute communication set</t>
  </si>
  <si>
    <t xml:space="preserve">Pipework &amp; interconnections</t>
  </si>
  <si>
    <t xml:space="preserve">1021.9 m of sized pipe across 74 runs (DN125 512.2 m, DN150 139.1 m, DN20 20.6 m, DN25 (nominal — flow unknown) 23.9 m, DN32 133.9 m, DN50 104.1 m) — per the connection schedule / Line &amp; velocity tab</t>
  </si>
  <si>
    <t xml:space="preserve">Equipment set &amp; grouted</t>
  </si>
  <si>
    <t xml:space="preserve">Pipe trolleys, chain hoists</t>
  </si>
  <si>
    <t xml:space="preserve">~41 crew-days (ESTIMATE)</t>
  </si>
  <si>
    <t xml:space="preserve">Pressure / leak test certificate per line</t>
  </si>
  <si>
    <t xml:space="preserve">Electrical installation</t>
  </si>
  <si>
    <t xml:space="preserve">422.7 m of LV cable per the connection schedule; boards &amp; distribution per the Electrical tab (single-line + panel schedule)</t>
  </si>
  <si>
    <t xml:space="preserve">Cable routes / trays installed</t>
  </si>
  <si>
    <t xml:space="preserve">Cable drum jacks</t>
  </si>
  <si>
    <t xml:space="preserve">~7.5 crew-days (ESTIMATE)</t>
  </si>
  <si>
    <t xml:space="preserve">Insulation-resistance + earth-continuity tests</t>
  </si>
  <si>
    <t xml:space="preserve">Instrumentation, controls &amp; SCADA</t>
  </si>
  <si>
    <t xml:space="preserve">51 instrument loop(s) from the bill of materials — mount, hook-up, loop-check</t>
  </si>
  <si>
    <t xml:space="preserve">Electrical energised (LV)</t>
  </si>
  <si>
    <t xml:space="preserve">Hand tools</t>
  </si>
  <si>
    <t xml:space="preserve">~6.5 crew-days (ESTIMATE)</t>
  </si>
  <si>
    <t xml:space="preserve">Loop checks + calibration certificates</t>
  </si>
  <si>
    <t xml:space="preserve">Pre-commissioning &amp; commissioning</t>
  </si>
  <si>
    <t xml:space="preserve">Whole plant — flush, fill, leak-check, energise, wet-commission, performance test (48 principal items)</t>
  </si>
  <si>
    <t xml:space="preserve">All systems installed &amp; tested</t>
  </si>
  <si>
    <t xml:space="preserve">Water-on, functional + performance test; client witness</t>
  </si>
  <si>
    <t xml:space="preserve">Duration norms used above — stated, industry-plausible defaults (ESTIMATE, not design-derived)</t>
  </si>
  <si>
    <t xml:space="preserve">civils: 40 m² slab per crew-day</t>
  </si>
  <si>
    <t xml:space="preserve">ESTIMATE — ground-bearing slab + plinths/bunds, incl. set-out &amp; cure wait overlap</t>
  </si>
  <si>
    <t xml:space="preserve">vessel: 3 vessel lifts per crane-day</t>
  </si>
  <si>
    <t xml:space="preserve">ESTIMATE — set, level, grout &amp; hold — light vessels (&lt;5 t) on a mobile crane</t>
  </si>
  <si>
    <t xml:space="preserve">machine: 4 items per crew-day</t>
  </si>
  <si>
    <t xml:space="preserve">ESTIMATE — skid/machine set + alignment on prepared plinths</t>
  </si>
  <si>
    <t xml:space="preserve">pipe: 25 m installed &amp; tested per crew-day</t>
  </si>
  <si>
    <t xml:space="preserve">ESTIMATE — carbon/PE process pipe incl. supports, per 2-fitter crew</t>
  </si>
  <si>
    <t xml:space="preserve">cable: 60 m pulled &amp; terminated per crew-day</t>
  </si>
  <si>
    <t xml:space="preserve">ESTIMATE — LV power/control cable on tray, per 2-electrician crew</t>
  </si>
  <si>
    <t xml:space="preserve">loop: 8 instrument loops per crew-day</t>
  </si>
  <si>
    <t xml:space="preserve">ESTIMATE — mount, hook-up, loop-check &amp; calibration certificate</t>
  </si>
  <si>
    <t xml:space="preserve">commission: 10 principal items per day + 5 days flat</t>
  </si>
  <si>
    <t xml:space="preserve">ESTIMATE — flush/fill/leak-check, energise, wet-commission, performance test</t>
  </si>
  <si>
    <t xml:space="preserve">Preliminary hazard &amp; risk register PLUS the regulatory / compliance duties, on one sheet (both derive from the same universal hazard library). Risk rows come LIVE from the physics critic, the deterministic gate flags, the cost-sanity check and the equipment present; the regulatory section adds the engine's compliance-gate verdict and the jurisdiction × hazard → regulation matrix. Score = S × L (≤7 Low / 8–14 Medium / ≥15 High). Every row is TRIAGED from its own provenance + content: an ENGINE-FIXABLE row (a design defect the engine controls — sizing / spec / coverage / consistency) is an OPEN DEFECT that names its routed fix stage and can never ship as 'tolerable with mitigation'; only a genuinely EXTERNAL risk (inherent process hazard, site / utility / supply-chain / regulatory factor) carries a mitigation. Universal — not plant-specific. Preliminary; a site-specific HAZID / HAZOP and a regulatory review are required before construction / sale. ROW CHECK CONTRACT (score = 10 × rows-passing ÷ rows = 10 × 10/10 = 10.0): Class=computed · Mitigation / fix route=required_nonempty · Residual=computed. A dash / empty / unverifiable contracted cell FAILS its row — honest red beats fake green.</t>
  </si>
  <si>
    <t xml:space="preserve">Risk register</t>
  </si>
  <si>
    <t xml:space="preserve">Hazard / finding</t>
  </si>
  <si>
    <t xml:space="preserve">Cause</t>
  </si>
  <si>
    <t xml:space="preserve">S</t>
  </si>
  <si>
    <t xml:space="preserve">L</t>
  </si>
  <si>
    <t xml:space="preserve">Score</t>
  </si>
  <si>
    <t xml:space="preserve">Class</t>
  </si>
  <si>
    <t xml:space="preserve">Mitigation / fix route</t>
  </si>
  <si>
    <t xml:space="preserve">Residual</t>
  </si>
  <si>
    <t xml:space="preserve">Source</t>
  </si>
  <si>
    <t xml:space="preserve">Audit: check evidence (build-computed triage)</t>
  </si>
  <si>
    <t xml:space="preserve">Engineering — design</t>
  </si>
  <si>
    <t xml:space="preserve">ADVISORY (uncorroborated by deterministic check — visible, never scores): The UV Disinfection unit is rated at 4 kW but is housed in a 600x510x660 mm envelope, which is physically too small for a 4 kW multi-lamp UV reactor designed to handle high flow rates.</t>
  </si>
  <si>
    <t xml:space="preserve">Physics critic (engineering_plausibility), at modules[1].sub_modules[0].words[25].</t>
  </si>
  <si>
    <t xml:space="preserve">Medium</t>
  </si>
  <si>
    <t xml:space="preserve">EXTERNAL</t>
  </si>
  <si>
    <t xml:space="preserve">Physics-critic I/O artifact — not a design property (gate-33 false-positive discipline); re-run Stage 7.5 to clear.</t>
  </si>
  <si>
    <t xml:space="preserve">Tolerable (with mitigation)</t>
  </si>
  <si>
    <t xml:space="preserve">state.physicsCritique.issues</t>
  </si>
  <si>
    <t xml:space="preserve">ADVISORY (uncorroborated by deterministic check — visible, never scores): The GAC Filter is listed with a capacity of 1.8 m³ and dimensions of 1.3 m dia x 1.4 m, which is significantly smaller than the 42-inch (1.06 m) diameter by 1.8 m height tank implied by the brief's 14.5 m³/h capacity.</t>
  </si>
  <si>
    <t xml:space="preserve">Physics critic (brief_to_design_fidelity), at modules[1].sub_modules[0].words[111].</t>
  </si>
  <si>
    <t xml:space="preserve">Process safety / HSE</t>
  </si>
  <si>
    <t xml:space="preserve">Toxic / asphyxiant gas release</t>
  </si>
  <si>
    <t xml:space="preserve">Biological or chemical processes can release ammonia, hydrogen sulphide or chlorine.</t>
  </si>
  <si>
    <t xml:space="preserve">Gas detection, forced ventilation, scrubbing, respiratory PPE, confined-space controls.</t>
  </si>
  <si>
    <t xml:space="preserve">Equipment present in the bill of materials</t>
  </si>
  <si>
    <t xml:space="preserve">Stored pressure energy</t>
  </si>
  <si>
    <t xml:space="preserve">Pressurised vessels and lines can fail explosively.</t>
  </si>
  <si>
    <t xml:space="preserve">Design + periodic inspection to pressure code, relief devices, written scheme of examination.</t>
  </si>
  <si>
    <t xml:space="preserve">Rotating machinery — entanglement / mechanical failure</t>
  </si>
  <si>
    <t xml:space="preserve">Exposed rotating parts; stored mechanical energy; loss of a duty machine upsets the process.</t>
  </si>
  <si>
    <t xml:space="preserve">Fixed guarding, lock-off / isolation (LOTO), N+1 standby on critical duties, vibration monitoring.</t>
  </si>
  <si>
    <t xml:space="preserve">Electrical — shock / arc-flash</t>
  </si>
  <si>
    <t xml:space="preserve">High fault energy at switchgear and transformers; shock risk from LV / HV.</t>
  </si>
  <si>
    <t xml:space="preserve">BS 7671 installation, arc-flash assessment, lock-off, IP-rated enclosures, RCD + earthing.</t>
  </si>
  <si>
    <t xml:space="preserve">Working at height / confined space (tanks &amp; vessels)</t>
  </si>
  <si>
    <t xml:space="preserve">Tank tops present a fall risk; tank interiors are confined spaces (atmosphere / drowning).</t>
  </si>
  <si>
    <t xml:space="preserve">Edge protection, confined-space permit-to-work, atmosphere testing, rescue plan.</t>
  </si>
  <si>
    <t xml:space="preserve">Environmental discharge to controlled waters</t>
  </si>
  <si>
    <t xml:space="preserve">Process effluent or sludge discharged to controlled waters requires consent.</t>
  </si>
  <si>
    <t xml:space="preserve">Discharge permit, effluent treatment to consent limits, monitoring + reporting.</t>
  </si>
  <si>
    <t xml:space="preserve">Chemical handling — corrosive / reactive</t>
  </si>
  <si>
    <t xml:space="preserve">Dosing chemicals are corrosive or reactive; incompatible mixing is hazardous.</t>
  </si>
  <si>
    <t xml:space="preserve">Bunding, segregated storage, COSHH assessment, PPE, eyewash / safety shower.</t>
  </si>
  <si>
    <t xml:space="preserve">Radiation — ultraviolet / ozone exposure</t>
  </si>
  <si>
    <t xml:space="preserve">Ultraviolet reactors emit harmful UV; ozone is a respiratory irritant.</t>
  </si>
  <si>
    <t xml:space="preserve">Interlocked enclosures, UV-opaque shielding, ozone detection + destruct.</t>
  </si>
  <si>
    <t xml:space="preserve">Regulatory &amp; compliance</t>
  </si>
  <si>
    <t xml:space="preserve">Jurisdiction: UK   ·   compliance-gate verdict: WARN (0/0 class standards covered). Statutory duties below are derived from the jurisdiction + the hazards present (universal matrix), not a per-class list — verify before sale / construction.</t>
  </si>
  <si>
    <t xml:space="preserve">Engine compliance-gate verdict</t>
  </si>
  <si>
    <t xml:space="preserve">WARN</t>
  </si>
  <si>
    <t xml:space="preserve">No class-standards registered for "water_treatment". Compliance check skipped — engineer must verify manually before sale.</t>
  </si>
  <si>
    <t xml:space="preserve">Statutory duties that always apply (UK)</t>
  </si>
  <si>
    <t xml:space="preserve">Regulation / standard</t>
  </si>
  <si>
    <t xml:space="preserve">Applies because</t>
  </si>
  <si>
    <t xml:space="preserve">Status</t>
  </si>
  <si>
    <t xml:space="preserve">Health and Safety at Work etc. Act 1974</t>
  </si>
  <si>
    <t xml:space="preserve">Overarching duty of care to workers and others.</t>
  </si>
  <si>
    <t xml:space="preserve">Mandatory — verify</t>
  </si>
  <si>
    <t xml:space="preserve">Management of Health and Safety at Work Regulations 1999</t>
  </si>
  <si>
    <t xml:space="preserve">Suitable &amp; sufficient risk assessment.</t>
  </si>
  <si>
    <t xml:space="preserve">Construction (Design and Management) Regulations 2015 (CDM)</t>
  </si>
  <si>
    <t xml:space="preserve">Design + construction safety duties.</t>
  </si>
  <si>
    <t xml:space="preserve">Supply of Machinery (Safety) Regulations 2008 (UKCA)</t>
  </si>
  <si>
    <t xml:space="preserve">Machinery conformity + UKCA marking.</t>
  </si>
  <si>
    <t xml:space="preserve">Hazard-driven regulations (from the equipment present)</t>
  </si>
  <si>
    <t xml:space="preserve">Triggered by (hazard present)</t>
  </si>
  <si>
    <t xml:space="preserve">Control of Substances Hazardous to Health Regulations 2002 (COSHH)</t>
  </si>
  <si>
    <t xml:space="preserve">Toxic / asphyxiant gas release; Chemical handling — corrosive / reactive</t>
  </si>
  <si>
    <t xml:space="preserve">Pressure Systems Safety Regulations 2000 (PSSR)</t>
  </si>
  <si>
    <t xml:space="preserve">Pressure Equipment (Safety) Regulations 2016</t>
  </si>
  <si>
    <t xml:space="preserve">Provision and Use of Work Equipment Regulations 1998 (PUWER)</t>
  </si>
  <si>
    <t xml:space="preserve">Electricity at Work Regulations 1989</t>
  </si>
  <si>
    <t xml:space="preserve">BS 7671 Requirements for Electrical Installations</t>
  </si>
  <si>
    <t xml:space="preserve">Work at Height Regulations 2005</t>
  </si>
  <si>
    <t xml:space="preserve">Confined Spaces Regulations 1997</t>
  </si>
  <si>
    <t xml:space="preserve">Environmental Permitting (England and Wales) Regulations 2016</t>
  </si>
  <si>
    <t xml:space="preserve">Dangerous Substances and Explosive Atmospheres Regulations 2002 (DSEAR)</t>
  </si>
  <si>
    <t xml:space="preserve">Control of Artificial Optical Radiation at Work Regulations 2010</t>
  </si>
  <si>
    <t xml:space="preserve">Holds &amp; exclusions — the honest open-items register</t>
  </si>
  <si>
    <t xml:space="preserve">Every hold is DERIVED LIVE from a failing check or column contract at build time — never hand-typed — so this register is always current: fix the item at source, rebuild, and its hold disappears. The dossier ships as a draft WITH these holds against it; the exclusions restate what was never in scope.</t>
  </si>
  <si>
    <t xml:space="preserve">HOLDS — 5 open item(s), numbered</t>
  </si>
  <si>
    <t xml:space="preserve">Hold</t>
  </si>
  <si>
    <t xml:space="preserve">Scope (live count)</t>
  </si>
  <si>
    <t xml:space="preserve">Derived from</t>
  </si>
  <si>
    <t xml:space="preserve">Clears when</t>
  </si>
  <si>
    <t xml:space="preserve">HOLD-001</t>
  </si>
  <si>
    <t xml:space="preserve">Line sizing pending flow allocation</t>
  </si>
  <si>
    <t xml:space="preserve">2 line(s) with no derivable flow (velocity unverifiable)</t>
  </si>
  <si>
    <t xml:space="preserve">Line &amp; velocity column contract (live per-row evaluation)</t>
  </si>
  <si>
    <t xml:space="preserve">author the real flow demand on every fluid topology edge at source — the contract then re-passes and this hold clears</t>
  </si>
  <si>
    <t xml:space="preserve">HOLD-002</t>
  </si>
  <si>
    <t xml:space="preserve">Bought-out manufacturer part numbers pending detailed design</t>
  </si>
  <si>
    <t xml:space="preserve">32/70 engineered bought-out lines carry an explicit 'TBD (detailed design)' part number (commodity lines 'MPN at procurement' are tallied separately and carry no hold: 17)</t>
  </si>
  <si>
    <t xml:space="preserve">Bill of Materials ledger column contract (live TBD count)</t>
  </si>
  <si>
    <t xml:space="preserve">resolve real MPNs at detailed design (Stage 17.6 library / supplier RFQs) — the TBD count then falls and this hold clears</t>
  </si>
  <si>
    <t xml:space="preserve">HOLD-003</t>
  </si>
  <si>
    <t xml:space="preserve">Panel circuits failing the schedule column contract</t>
  </si>
  <si>
    <t xml:space="preserve">1/23 circuit row(s) FAIL (missing ΔU / out-of-band volt-drop)</t>
  </si>
  <si>
    <t xml:space="preserve">Panel schedule column contract (live per-circuit evaluation)</t>
  </si>
  <si>
    <t xml:space="preserve">route + size the failing circuits so ΔU computes in-band</t>
  </si>
  <si>
    <t xml:space="preserve">HOLD-004</t>
  </si>
  <si>
    <t xml:space="preserve">Needs input — coverage_partial</t>
  </si>
  <si>
    <t xml:space="preserve">6 drawing(s) partially covered (worst 75%): process-schedules: 18/24; panel-schedule: 20/23; block-flow-diagram: 16/18; pid: 38/42 — minor over-decomposition detail; principal syst</t>
  </si>
  <si>
    <t xml:space="preserve">self-repair loop (severity MED, tab Coverage)</t>
  </si>
  <si>
    <t xml:space="preserve">each engineering drawing must represent every PRINCIPAL part; minor decomposition detail may be represented by its parent | repair: no deterministic single-answer fix — human / sou</t>
  </si>
  <si>
    <t xml:space="preserve">HOLD-005</t>
  </si>
  <si>
    <t xml:space="preserve">Needs input — advisory_critic_notes</t>
  </si>
  <si>
    <t xml:space="preserve">2 critic note(s) are UNCORROBORATED by any deterministic check over the delivered artefacts — rendered as advisory, never scored: The UV Disinfection unit is rated at 4 kW but is h</t>
  </si>
  <si>
    <t xml:space="preserve">self-repair loop (severity INFO, tab Risk &amp; Regulatory)</t>
  </si>
  <si>
    <t xml:space="preserve">a critic finding may score only when corroborated by a deterministic check over delivered artefacts (B3 finding-set extension) | repair: no deterministic single-answer fix — human</t>
  </si>
  <si>
    <t xml:space="preserve">EXCLUSIONS — never in this plant's scope</t>
  </si>
  <si>
    <t xml:space="preserve">• the grow-lighting / assimilation lighting and its switchboards</t>
  </si>
  <si>
    <t xml:space="preserve">• the climate / heating, ventilation and cooling hardware and the climate-control computer</t>
  </si>
  <si>
    <t xml:space="preserve">• the cultivation rack framework</t>
  </si>
  <si>
    <t xml:space="preserve">• the building, civil works and excavation</t>
  </si>
  <si>
    <t xml:space="preserve">• the main electrical switchboard and the feeder cables to it, and earthing/cable tray/cable penetrations</t>
  </si>
  <si>
    <t xml:space="preserve">Questions for the customer — confirm or correct</t>
  </si>
  <si>
    <t xml:space="preserve">Customers don't know what they want — so every value the engine had to assume, every brief field still missing, every physics contradiction and every unexplained divergence from your offer is a NUMBERED QUESTION here. Each row is derived live from a named engine artefact at build time (never hand-typed): answer it in the brief or record a scope decision, rebuild, and the row disappears. What changes if your answer differs is stated per row.</t>
  </si>
  <si>
    <t xml:space="preserve">OPEN QUESTIONS — 5, numbered (each names the artefact that raised it)</t>
  </si>
  <si>
    <t xml:space="preserve">Q#</t>
  </si>
  <si>
    <t xml:space="preserve">Question for the customer</t>
  </si>
  <si>
    <t xml:space="preserve">Why it matters — what changes if the answer differs</t>
  </si>
  <si>
    <t xml:space="preserve">Assumption in force (until answered)</t>
  </si>
  <si>
    <t xml:space="preserve">Provenance (engine artefact that raised it)</t>
  </si>
  <si>
    <t xml:space="preserve">Q-001</t>
  </si>
  <si>
    <t xml:space="preserve">What is the required max mass kg? The brief does not state it and no class default exists.</t>
  </si>
  <si>
    <t xml:space="preserve">a stated mass cap becomes a hard constraint on the skid/structure and the transport &amp; lifting plan; today nothing bounds the plant's shipped mass</t>
  </si>
  <si>
    <t xml:space="preserve">none in force — the field is empty in the design basis; the design proceeds unconstrained on it</t>
  </si>
  <si>
    <t xml:space="preserve">brief augmentation (still_missing) — 1-parsed-brief-augmented.json</t>
  </si>
  <si>
    <t xml:space="preserve">Q-002</t>
  </si>
  <si>
    <t xml:space="preserve">What is the required operating environment? The brief does not state it and no class default exists.</t>
  </si>
  <si>
    <t xml:space="preserve">the ambient min/max drive thermal sizing (heater/chiller duty, derating), material selection and IP ratings; today no ambient-envelope check can run</t>
  </si>
  <si>
    <t xml:space="preserve">Q-003</t>
  </si>
  <si>
    <t xml:space="preserve">We assumed target process = Continuous chemical process: capture; field-erected fixed plant with closed-loop solvent/reagent recovery and automated… — confirm or correct.</t>
  </si>
  <si>
    <t xml:space="preserve">every quantity derived from this field moves if the real value differs (it entered the design as if the brief had stated it)</t>
  </si>
  <si>
    <t xml:space="preserve">inferred: Continuous chemical process: capture; field-erected fixed plant with closed-loop solvent/reagent re… — Process inferred from brief mission/description for water_treatment. class-agnostic inference from brief text for unmapped class 'water_tre…</t>
  </si>
  <si>
    <t xml:space="preserve">brief augmentation (was_filled) — 1-parsed-brief-augmented.json</t>
  </si>
  <si>
    <t xml:space="preserve">Q-004</t>
  </si>
  <si>
    <t xml:space="preserve">Please review: For each thin sub-module: confirm whether it should be split further OR accept that the sub-module is genuinely a single-component unit.</t>
  </si>
  <si>
    <t xml:space="preserve">A thin sub-module may indicate the chain missed components OR that the sub-module truly is simple (e.g. a single moulded enclosure). Without human review you can't tell which.</t>
  </si>
  <si>
    <t xml:space="preserve">grammar: 7 sub-module(s) UNDER-DENSE (&lt;5 words; need 5-7 for a real BoM): fertigation_dosing_system::fertigation_dosing_system__primary_assembly (1 words), sensing_instrumentation::sensing_instrument…</t>
  </si>
  <si>
    <t xml:space="preserve">design-decisions register — gate-unrepaired::sub_module_word_density (unrepaired_gate, module fertigation_dosing_system)</t>
  </si>
  <si>
    <t xml:space="preserve">Q-005</t>
  </si>
  <si>
    <t xml:space="preserve">Please review: Trim the module overview to only describe what exists in the design data.</t>
  </si>
  <si>
    <t xml:space="preserve">Inflated prose creates the false impression of completeness. Same readability concern.</t>
  </si>
  <si>
    <t xml:space="preserve">grammar: 2 module(s) name components in overview that are absent from sub-modules (procurement gap): mass_fluid_transport_process: overview mentions 3 concrete components not present in any sub-modul…</t>
  </si>
  <si>
    <t xml:space="preserve">design-decisions register — gate-unrepaired::module_prose_subset_of_sub_modules (unrepaired_gate, module mass_fluid_transport_process)</t>
  </si>
  <si>
    <t xml:space="preserve">Quality &amp; Audit — every section and tab against the ≥8 floor + the ship gate</t>
  </si>
  <si>
    <t xml:space="preserve">The engine's own quality surface, on one tab: the dossier verdict (stated ONCE, here), every DETERMINISTIC section and every tab scored against the ≥8 floor (the LLM self-audit's opinions render as advisory annotations — visible, never scoring; B3), and the deterministic ship-gate audit findings. The AIM is ≥8 EVERYWHERE — the floor, not the average. See ⚠ Checks for the live arithmetic invariants.</t>
  </si>
  <si>
    <t xml:space="preserve">MIN deterministic section score  —/10</t>
  </si>
  <si>
    <t xml:space="preserve">0/0 deterministic sections ≥8</t>
  </si>
  <si>
    <t xml:space="preserve">LLM self-audit min 5/10 — ADVISORY, uncorroborated; annotates, never floors (B3)   ·   AIM: every section ≥8</t>
  </si>
  <si>
    <t xml:space="preserve">Section</t>
  </si>
  <si>
    <t xml:space="preserve">Score (deterministic)</t>
  </si>
  <si>
    <t xml:space="preserve">vs ≥8 floor</t>
  </si>
  <si>
    <t xml:space="preserve">Self-audit opinion (advisory — never floors)</t>
  </si>
  <si>
    <t xml:space="preserve">Top defect (why it's below 8)</t>
  </si>
  <si>
    <t xml:space="preserve">Headline  (advisory)</t>
  </si>
  <si>
    <t xml:space="preserve">— (no deterministic section — the deliverable is scored on the per-tab table below)</t>
  </si>
  <si>
    <t xml:space="preserve">self-audit opinion: 9 — advisory, uncorroborated</t>
  </si>
  <si>
    <t xml:space="preserve">Brief compliance  (advisory)</t>
  </si>
  <si>
    <t xml:space="preserve">self-audit opinion: 8 — advisory, uncorroborated</t>
  </si>
  <si>
    <t xml:space="preserve">Bill of materials  (advisory)</t>
  </si>
  <si>
    <t xml:space="preserve">self-audit opinion: 7 — advisory, uncorroborated</t>
  </si>
  <si>
    <t xml:space="preserve">5 genuinely unpriced lines (terminal blocks etc.)</t>
  </si>
  <si>
    <t xml:space="preserve">Performance card  (advisory)</t>
  </si>
  <si>
    <t xml:space="preserve">self-audit opinion: 10 — advisory, uncorroborated</t>
  </si>
  <si>
    <t xml:space="preserve">Design narrative  (advisory)</t>
  </si>
  <si>
    <t xml:space="preserve">Physics fidelity  (advisory)</t>
  </si>
  <si>
    <t xml:space="preserve">self-audit opinion: 5 — advisory, uncorroborated</t>
  </si>
  <si>
    <t xml:space="preserve">HIGH severity sizing discrepancy on softener vessels/pumps</t>
  </si>
  <si>
    <t xml:space="preserve">Engine quality metrics — the dossier's own confidence rating</t>
  </si>
  <si>
    <t xml:space="preserve">Deterministic sections at ≥8 (AIM: all)</t>
  </si>
  <si>
    <t xml:space="preserve">0 / 0</t>
  </si>
  <si>
    <t xml:space="preserve">AIM: 100%</t>
  </si>
  <si>
    <t xml:space="preserve">Min deterministic section score (floors)</t>
  </si>
  <si>
    <t xml:space="preserve">—/10</t>
  </si>
  <si>
    <t xml:space="preserve">Min self-audit opinion (advisory — never floors)</t>
  </si>
  <si>
    <t xml:space="preserve">5/10</t>
  </si>
  <si>
    <t xml:space="preserve">Traceability — every number → the brief</t>
  </si>
  <si>
    <t xml:space="preserve">100%</t>
  </si>
  <si>
    <t xml:space="preserve">Calc-coverage — every number shows its formula</t>
  </si>
  <si>
    <t xml:space="preserve">69%</t>
  </si>
  <si>
    <t xml:space="preserve">Per-tab quality — every tab against the ≥8 floor (worst: Executive Summary 8.0/10; 0 FAIL, 0 UNSCORED). Score = live formula; muted 'Audit:' columns hold the embedded score operands (passed/checked per component + the governing cap).</t>
  </si>
  <si>
    <t xml:space="preserve">Top issue / coverage gap (fix at source)</t>
  </si>
  <si>
    <t xml:space="preserve">Basis — mechanism &amp; caps (stated)</t>
  </si>
  <si>
    <t xml:space="preserve">Audit: governing cap</t>
  </si>
  <si>
    <t xml:space="preserve">Audit: p1</t>
  </si>
  <si>
    <t xml:space="preserve">Audit: c1</t>
  </si>
  <si>
    <t xml:space="preserve">Audit: p2</t>
  </si>
  <si>
    <t xml:space="preserve">Audit: c2</t>
  </si>
  <si>
    <t xml:space="preserve">Audit: p3</t>
  </si>
  <si>
    <t xml:space="preserve">Audit: c3</t>
  </si>
  <si>
    <t xml:space="preserve">Audit: p4</t>
  </si>
  <si>
    <t xml:space="preserve">Audit: c4</t>
  </si>
  <si>
    <t xml:space="preserve">Audit: p5</t>
  </si>
  <si>
    <t xml:space="preserve">Audit: c5</t>
  </si>
  <si>
    <t xml:space="preserve">capped at the dossier FLOOR (8/10): the cover cannot claim a higher score than its weakest sheet — fix that sheet to raise this one</t>
  </si>
  <si>
    <t xml:space="preserve">MIRROR of the dossier floor (min of every deterministic section &amp; non-mirror tab) — re-stamped from the CURRENT scores, never a stale earlier cap; own content check: cover compliance arithmetic (achieved vs target re-evaluated per row) — brief-compli</t>
  </si>
  <si>
    <t xml:space="preserve">THE dossier floor — min score of every deterministic section &amp; non-mirror tab (identical to the verdict computation); own content check: floor mirror + audit-surface integrity (rows tie to the live scorecard) — per-tab table rows name real scored tab</t>
  </si>
  <si>
    <t xml:space="preserve">dashboard integrity (every quoted number vs its engine source) — capex category % = 100 × £ / Σ (per-row arithmetic) 10/10; Σ capex categories ≈ the BoM materials total 1/1; cell completeness+type contract 51/51 · score = min over checks of 10 × pass</t>
  </si>
  <si>
    <t xml:space="preserve">client-offer reconciliation (live section mapping) — client-offer reconciliation sections consistent (incl. decision-covered) 6/6; every live section rendered as a reconciliation row 1/1; cell completeness+type contract 20/20 · score = min over check</t>
  </si>
  <si>
    <t xml:space="preserve">quantity provenance (source + where-from + used-by per row) — provenance-verified quantity rows 113/113; cell completeness+type contract 339/339 · score = min over checks of 10 × passed/checked</t>
  </si>
  <si>
    <t xml:space="preserve">worked-calc coverage (every definition resolves to a computed result; inputs populated) + tool-flow consumption — worked-calc definitions resolve to a computed result 13/13; calc input rows carry their value 37/37; tool outputs consumed downstream 37</t>
  </si>
  <si>
    <t xml:space="preserve">32/70 ENGINEERED bought-out lines carry MPN 'TBD (detailed design)' — an ESTIMATE-stage gap; score = arithmetic − 4 × engineered-TBD-fraction = 10.0 − 1.8 (17 commodity line(s) 'MPN at procurement' tallied separately, unpenalised)</t>
  </si>
  <si>
    <t xml:space="preserve">column-contract arithmetic: 10 × 435/435 rows passing; content checks: BoM ledger column contract (per-row Row check) — cell completeness+type contract 3038/3061 · score = min over checks of 10 × passed/checked</t>
  </si>
  <si>
    <t xml:space="preserve">cost-waterfall arithmetic ties (each step vs its named costStack anchor; sums close) — waterfall rows tie live to their stated costStack anchor 6/6; assembly/install rows computed live from their factors 7/7; Σ class subtotals ≈ the BoM materials tot</t>
  </si>
  <si>
    <t xml:space="preserve">30 orphan numeric literal(s) in the financial model (e.g. row 35 col 2, row 35 col 3, row 36 col 2, row 36 col 3) — a model number must be driven, not typed</t>
  </si>
  <si>
    <t xml:space="preserve">formula integrity (cells reference drivers; no orphan literals) + scenario arithmetic (live) — model value cells are live formulas or declared (yellow) inputs 193/223; cell completeness+type contract 389/389 · score = min over checks of 10 × passed/c</t>
  </si>
  <si>
    <t xml:space="preserve">resolved-endpoint fraction (every ← / → tag must exist) + per-row status — connection rows carry a computed OK status (0 unresolved endpoints, no missing-tie evidence) 48/48; cell completeness+type contract 106/106 · score = min over checks of 10 × p</t>
  </si>
  <si>
    <t xml:space="preserve">cell contract: 1 of 392 required cells empty/invalid across 1 row(s) — e.g. row 75: 'Tag' placeholder '—'</t>
  </si>
  <si>
    <t xml:space="preserve">dedupe + completeness (every BoM tag present exactly once) — part tags unique (each physical thing named once) 107/107; cell completeness+type contract 391/392 · score = min over checks of 10 × passed/checked</t>
  </si>
  <si>
    <t xml:space="preserve">column-contract arithmetic: 10 × 10/10 rows passing; content checks: risk-register column contract (per-row triage) — cell completeness+type contract 184/184 · score = min over checks of 10 × passed/checked</t>
  </si>
  <si>
    <t xml:space="preserve">13/13 steps carry design-derived content (footprint / region groups / schedule quantities / BoM lift mass); duration norms are stated ESTIMATE defaults — capped at 8 until the norms themselves are design-derived</t>
  </si>
  <si>
    <t xml:space="preserve">arithmetic: min(8, 10 × 13/13 design-derived steps); content checks: design-derived step arithmetic — cell completeness+type contract 52/52 · score = min over checks of 10 × passed/checked</t>
  </si>
  <si>
    <t xml:space="preserve">cell contract: 85 of 454 required cells empty/invalid across 44 row(s) — e.g. row 9: 'Size' placeholder '—'; 'Set / Cv' placeholder '—'; 'Fail' placeholder '—'</t>
  </si>
  <si>
    <t xml:space="preserve">schedule column contract (per-cell completeness + type over every schedule row, from the drawings/*.md source) — cell completeness+type contract 369/454 · score = min over checks of 10 × passed/checked</t>
  </si>
  <si>
    <t xml:space="preserve">3/74 rows FAIL the column contract (arithmetic score 10 × 71/74 = 9.6) — e.g. Fresh Water Tank→Nutrient Tank: velocity underivable — no flow demand on the edge and no contract flow/throughput quantity matches either endpoint · Fresh Water Tank→Drain Water Tank: velocity underivable — no flow demand on the edge and no contract flow/throughput quantity matches either endpoint · Motor Control Center→Digital Control Panel: no carried current on the run</t>
  </si>
  <si>
    <t xml:space="preserve">column-contract arithmetic: 10 × 71/74 rows passing; content checks: line &amp; velocity column contract (per-row Row check) — cell completeness+type contract 518/518 · score = min over checks of 10 × passed/checked</t>
  </si>
  <si>
    <t xml:space="preserve">glossary contract (every term defined + no orphan terms) — every rendered term carries a definition 47/47; terms actually used somewhere in the workbook 47/47 · score = min over checks of 10 × passed/checked</t>
  </si>
  <si>
    <t xml:space="preserve">1/23 circuit/board/drawing rows FAIL the column contract (arithmetic score 10 × 22/23 = 9.6) — e.g. single-line ↔ schedule · board hierarchy: board reference(s) absent from the single-line drawing: MAIN DISTRIBUTION BOARD (TP&amp;N)</t>
  </si>
  <si>
    <t xml:space="preserve">column-contract arithmetic: 10 × 22/23 rows passing; content checks: panel-schedule column contract + single-line drawing coverage — cell completeness+type contract 187/187 · score = min over checks of 10 × passed/checked</t>
  </si>
  <si>
    <t xml:space="preserve">26/26 basis lines carry a value + a named source (module constant / contract quantity / live Inputs cell); capped at 8 — a derived statement of basis, not an independently verified document</t>
  </si>
  <si>
    <t xml:space="preserve">arithmetic: min(8, 10 × 26/26 complete rows); content checks: design-basis completeness arithmetic — cell completeness+type contract 104/104 · score = min over checks of 10 × passed/checked</t>
  </si>
  <si>
    <t xml:space="preserve">5 open hold(s) + 5 exclusion(s) — every hold derived live from a failing check/contract (TBD / out-of-scope items disclosed, not hidden); capped at 8 while any hold is open</t>
  </si>
  <si>
    <t xml:space="preserve">live-derivation check (each hold re-derived from the current contract results) — rendered holds match the LIVE re-derivation (stale hold = fail) 5/5; cell completeness+type contract 25/25 · score = min over checks of 10 × passed/checked</t>
  </si>
  <si>
    <t xml:space="preserve">5 open question(s) for the customer — every row derived live from a named engine artefact (brief augmentation / plausibility critic / decisions register / client-offer reconciliation); an answered question disappears on rebuild</t>
  </si>
  <si>
    <t xml:space="preserve">live-derivation check (each question re-derived from the run's own artefacts: brief augmentation, plausibility critic, decisions register, client-offer reconciliation) — rendered questions match the LIVE re-derivation (stale/dropped question = fail)</t>
  </si>
  <si>
    <t xml:space="preserve">308/308 invariants pass</t>
  </si>
  <si>
    <t xml:space="preserve">fail-count formula: 10 if 0 FAIL else max(0, 8 − 2 × fails) — deterministic invariants pass 7/7; cell completeness+type contract 197/197 · score = min over checks of 10 × passed/checked</t>
  </si>
  <si>
    <t xml:space="preserve">Render part coverage 29/30 (97%)</t>
  </si>
  <si>
    <t xml:space="preserve">render mechanism: parts-ledger coverage × default-size litter × typed-shape × vision-critic verdict (render-vision-critique.json) — drawing part coverage (blender) 29/30 · score = min over checks of 10 × passed/checked</t>
  </si>
  <si>
    <t xml:space="preserve">GA part coverage 29/30 (97%)</t>
  </si>
  <si>
    <t xml:space="preserve">GA mechanism: parts-ledger coverage × default-size litter × layout-divergence × typed-shape checks — drawing part coverage (general-arrangement) 29/30 · score = min over checks of 10 × passed/checked</t>
  </si>
  <si>
    <t xml:space="preserve">P&amp;ID part coverage 38/42 (90%)</t>
  </si>
  <si>
    <t xml:space="preserve">P&amp;ID part-coverage arithmetic (parts_ledger ✓/✗ vs the BoM) — drawing part coverage (pid) 38/42 · score = min over checks of 10 × passed/checked</t>
  </si>
  <si>
    <t xml:space="preserve">Block-flow part coverage 16/18 (89%)</t>
  </si>
  <si>
    <t xml:space="preserve">block-flow part-coverage arithmetic (parts_ledger) — drawing part coverage (block-flow-diagram) 16/18 · score = min over checks of 10 × passed/checked</t>
  </si>
  <si>
    <t xml:space="preserve">HVAC is OUT OF SCOPE for this process / fluid plant — its climate hardware (heating / ventilation / cooling) is supplied by others (per the brief); the sheet honestly documents building-ventilation only, with no HVAC equipment to size or mis-represent. Class-appropriate, not a coverage gap.</t>
  </si>
  <si>
    <t xml:space="preserve">HVAC duty-scoped check: contract duty signal → drawing coverage; no duty → honest out-of-scope disclosure (capped 8)</t>
  </si>
  <si>
    <t xml:space="preserve">4 drawing(s) registered with 20 print-ready A1 sheet PDF(s), all present on disk, lettering ≥2.5 mm</t>
  </si>
  <si>
    <t xml:space="preserve">drawing-register integrity: every registered A1 print PDF exists on disk + ISO 3098 2.5 mm lettering bar — registered drawings with their print set present 4/5; registered render views with a file 8/8; cell completeness+type contract 48/49 · score =</t>
  </si>
  <si>
    <t xml:space="preserve">generative benchmark sanity net (gate 36): independent top-down LLM expectation diffed against the bottom-up engine, per-dimension — benchmark dimensions within the expectation envelope 6/6; gate-36 verdict is not RADICAL 1/1; cell completeness+type</t>
  </si>
  <si>
    <t xml:space="preserve">driver integrity (every input driver consumed by a live formula) — drivers referenced by a live formula somewhere 18/18; cell completeness+type contract 54/54 · score = min over checks of 10 × passed/checked</t>
  </si>
  <si>
    <t xml:space="preserve">audit-operand register contract (every embedded operand carries its label + provenance; per-row Cell check formulas) — cell completeness+type contract 100/100 · score = min over checks of 10 × passed/checked</t>
  </si>
  <si>
    <t xml:space="preserve">index integrity (both directions) — index rows point at an existing tab 30/30; every sheet listed in the index 30/30; cell completeness+type contract 90/90 · score = min over checks of 10 × passed/checked</t>
  </si>
  <si>
    <t xml:space="preserve">LIVE FLOOR — min of every deterministic section &amp; non-mirror tab (the ONE VERDICT's number, computed in-cell)</t>
  </si>
  <si>
    <t xml:space="preserve">LIVE OPEN ISSUES — sections/tabs below 8 or unscored (computed in-cell over the same score cells)</t>
  </si>
  <si>
    <t xml:space="preserve">⚠ Deterministic ship-gate audit — every per-tab check (no LLM)</t>
  </si>
  <si>
    <t xml:space="preserve">Findings: 0 HIGH · 1 MED · 0 LOW · 1 total — a HIGH finding means the dossier is NOT validated.</t>
  </si>
  <si>
    <t xml:space="preserve">Coverage</t>
  </si>
  <si>
    <t xml:space="preserve">Severity</t>
  </si>
  <si>
    <t xml:space="preserve">Message</t>
  </si>
  <si>
    <t xml:space="preserve">Actual</t>
  </si>
  <si>
    <t xml:space="preserve">MED</t>
  </si>
  <si>
    <t xml:space="preserve">coverage_partial</t>
  </si>
  <si>
    <t xml:space="preserve">6 drawing(s) partially covered (worst 75%): process-schedules: 18/24; panel-schedule: 20/23; block-flow-diagram: 16/18; pid: 38/42 — minor over-decomposition detail; principal systems are represented</t>
  </si>
  <si>
    <t xml:space="preserve">6 partial drawings, worst 75%</t>
  </si>
  <si>
    <t xml:space="preserve">every principal system represented on each drawing (≥95% coverage)</t>
  </si>
  <si>
    <t xml:space="preserve">INFO</t>
  </si>
  <si>
    <t xml:space="preserve">advisory_critic_notes</t>
  </si>
  <si>
    <t xml:space="preserve">2 critic note(s) are UNCORROBORATED by any deterministic check over the delivered artefacts — rendered as advisory, never scored: The UV Disinfection unit is rated at 4 kW but is housed in a… | The GAC Filter is listed with a capacity of 1.8 m³ and dimensions of…</t>
  </si>
  <si>
    <t xml:space="preserve">2 advisory notes</t>
  </si>
  <si>
    <t xml:space="preserve">advisory notes are visible but carry no score penalty</t>
  </si>
  <si>
    <t xml:space="preserve">BENCHMARK NET — independent generative-LLM expectation (top-down) vs the engine (bottom-up)</t>
  </si>
  <si>
    <t xml:space="preserve">deterministic output deviates from the benchmark — review recommended  ·  model: z-ai/glm-5.2  ·  worst verdict: warn</t>
  </si>
  <si>
    <t xml:space="preserve">Dimension</t>
  </si>
  <si>
    <t xml:space="preserve">LLM expected (top-down)</t>
  </si>
  <si>
    <t xml:space="preserve">Engine (bottom-up)</t>
  </si>
  <si>
    <t xml:space="preserve">Ratio</t>
  </si>
  <si>
    <t xml:space="preserve">Verdict / note</t>
  </si>
  <si>
    <t xml:space="preserve">all-in cost</t>
  </si>
  <si>
    <t xml:space="preserve">£800,000–1,500,000 (mid £1,100,000)</t>
  </si>
  <si>
    <t xml:space="preserve">£1,132,439 (costStack.oem_transfer_price_gbp)</t>
  </si>
  <si>
    <t xml:space="preserve">1.03×</t>
  </si>
  <si>
    <t xml:space="preserve">output — irrigation_demand</t>
  </si>
  <si>
    <t xml:space="preserve">45 m³/h</t>
  </si>
  <si>
    <t xml:space="preserve">90 m³/h (contract.irrigation_demand_m3_h)</t>
  </si>
  <si>
    <t xml:space="preserve">2.00×</t>
  </si>
  <si>
    <t xml:space="preserve">output — ro_permeate_capacity</t>
  </si>
  <si>
    <t xml:space="preserve">8 m³/h</t>
  </si>
  <si>
    <t xml:space="preserve">8 m³/h (contract.ro_permeate_capacity_m3_h)</t>
  </si>
  <si>
    <t xml:space="preserve">1.00×</t>
  </si>
  <si>
    <t xml:space="preserve">output — water_storage_capacity</t>
  </si>
  <si>
    <t xml:space="preserve">120 m³</t>
  </si>
  <si>
    <t xml:space="preserve">120 m3 (contract.water_storage_delivered_m3)</t>
  </si>
  <si>
    <t xml:space="preserve">output — actuated_valves</t>
  </si>
  <si>
    <t xml:space="preserve">200 count</t>
  </si>
  <si>
    <t xml:space="preserve">200 count (contract.actuated_distribution_valve_count)</t>
  </si>
  <si>
    <t xml:space="preserve">output — ro_recovery</t>
  </si>
  <si>
    <t xml:space="preserve">75 %</t>
  </si>
  <si>
    <t xml:space="preserve">75 % (contract.ro_recovery_percent)</t>
  </si>
  <si>
    <t xml:space="preserve">Independent sense-check — generative LLM expectation vs the deterministic engine</t>
  </si>
  <si>
    <t xml:space="preserve">An LLM independently estimates, TOP-DOWN from the market, what a plant like this should cost, output and be built from. The deterministic engine builds BOTTOM-UP from parts. The two methods are diffed: a large gap means one is wrong. This is the engine's own sanity check — shown here so you can see it, not just trust it.</t>
  </si>
  <si>
    <t xml:space="preserve">SENSE-CHECK VERDICT: WARN</t>
  </si>
  <si>
    <t xml:space="preserve">deterministic output deviates from the benchmark — review recommended</t>
  </si>
  <si>
    <t xml:space="preserve">All-in cost — LLM top-down envelope vs the engine</t>
  </si>
  <si>
    <t xml:space="preserve">All-in cost</t>
  </si>
  <si>
    <t xml:space="preserve">£800,000–£1,500,000 (mid £1,100,000)</t>
  </si>
  <si>
    <t xml:space="preserve">£1,132,439</t>
  </si>
  <si>
    <t xml:space="preserve">1.0×</t>
  </si>
  <si>
    <t xml:space="preserve">Commercial cultivation fertigation + water treatment systems typically run £130–250 per plant container fully installed; 6000 containers → £0.8–1.5M, with 200 actuated valves and 120 m³ storage pushing toward mid-high end.</t>
  </si>
  <si>
    <t xml:space="preserve">Per-dimension divergence — 6 checked (cost · output · sizing · components)</t>
  </si>
  <si>
    <t xml:space="preserve">LLM expected</t>
  </si>
  <si>
    <t xml:space="preserve">Engine (deterministic)</t>
  </si>
  <si>
    <t xml:space="preserve">Verdict</t>
  </si>
  <si>
    <t xml:space="preserve">2.0×</t>
  </si>
  <si>
    <t xml:space="preserve">Per-line-item faults — 7 lines the LLM flags as wrong in the engine's bill</t>
  </si>
  <si>
    <t xml:space="preserve">Bill line</t>
  </si>
  <si>
    <t xml:space="preserve">What's wrong</t>
  </si>
  <si>
    <t xml:space="preserve">Magnitude</t>
  </si>
  <si>
    <t xml:space="preserve">LLM-suggested</t>
  </si>
  <si>
    <t xml:space="preserve">Likely cause</t>
  </si>
  <si>
    <t xml:space="preserve">P-103</t>
  </si>
  <si>
    <t xml:space="preserve">Irrigation pump sized at 90 m³/h</t>
  </si>
  <si>
    <t xml:space="preserve">2× oversized</t>
  </si>
  <si>
    <t xml:space="preserve">45 m³/h pump</t>
  </si>
  <si>
    <t xml:space="preserve">contract.irrigation_demand_m3_h set to 90 instead of benchmark 45</t>
  </si>
  <si>
    <t xml:space="preserve">— | qty 8280 | unit £13.2</t>
  </si>
  <si>
    <t xml:space="preserve">Zoned distribution laterals qty 8280</t>
  </si>
  <si>
    <t xml:space="preserve">~3–4× too high</t>
  </si>
  <si>
    <t xml:space="preserve">~2000–2500 m total laterals</t>
  </si>
  <si>
    <t xml:space="preserve">wrong quantity (per-container or reel length error)</t>
  </si>
  <si>
    <t xml:space="preserve">— | qty 4200 | unit £20.8</t>
  </si>
  <si>
    <t xml:space="preserve">Drain/return risers qty 4200</t>
  </si>
  <si>
    <t xml:space="preserve">~3× too high</t>
  </si>
  <si>
    <t xml:space="preserve">~1400 m total risers</t>
  </si>
  <si>
    <t xml:space="preserve">wrong quantity (per-container multiplier)</t>
  </si>
  <si>
    <t xml:space="preserve">C59, C05, C03, C60, C09, C34, C06, C07, C39, C63, C62, C41, C20, C10, C15, C11, C25, C26, C33, C18, C32, C30, C21, C24, C08, C36, C13, C04, C28, C58, C02, C23, C01, C35, C16, C37, C29, C38, C64, C12, C17, C31, C19, C40 (all water connections)</t>
  </si>
  <si>
    <t xml:space="preserve">Each 'water connection' line priced £400–£3161</t>
  </si>
  <si>
    <t xml:space="preserve">10–30× too high per connection</t>
  </si>
  <si>
    <t xml:space="preserve">£50–£150 per connection (pipe spool + fittings)</t>
  </si>
  <si>
    <t xml:space="preserve">wrong unit price (equipment or skid price copied into connection items)</t>
  </si>
  <si>
    <t xml:space="preserve">TK-106, TK-108, TK-114, TK-103, TK-102, TK-101</t>
  </si>
  <si>
    <t xml:space="preserve">No raw-water tank, no dedicated RO permeate tank, no irrigation buffer tank</t>
  </si>
  <si>
    <t xml:space="preserve">missing 3 tanks (~80–100 m³ total)</t>
  </si>
  <si>
    <t xml:space="preserve">add 2–3 large tanks (raw + permeate + blend) to reach 120 m³</t>
  </si>
  <si>
    <t xml:space="preserve">missing component (only drain/fresh/nutrient/CIP tanks present)</t>
  </si>
  <si>
    <t xml:space="preserve">— (no secondary containment line)</t>
  </si>
  <si>
    <t xml:space="preserve">No bunding/containment for chemical storage or tank farm</t>
  </si>
  <si>
    <t xml:space="preserve">absent</t>
  </si>
  <si>
    <t xml:space="preserve">add civil bunding line (~£30–50k)</t>
  </si>
  <si>
    <t xml:space="preserve">missing component</t>
  </si>
  <si>
    <t xml:space="preserve">G-201</t>
  </si>
  <si>
    <t xml:space="preserve">Standby diesel generator present</t>
  </si>
  <si>
    <t xml:space="preserve">not in benchmark scope</t>
  </si>
  <si>
    <t xml:space="preserve">remove or move to separate capex</t>
  </si>
  <si>
    <t xml:space="preserve">extra scope item</t>
  </si>
  <si>
    <t xml:space="preserve">LLM-expected bill structure (top-down — what the cost SHOULD break into)</t>
  </si>
  <si>
    <t xml:space="preserve">Expected line / category</t>
  </si>
  <si>
    <t xml:space="preserve">% of cost</t>
  </si>
  <si>
    <t xml:space="preserve">Piping &amp; distribution (PVC/HDPE, fittings, manifolds)</t>
  </si>
  <si>
    <t xml:space="preserve">16%</t>
  </si>
  <si>
    <t xml:space="preserve">Always underestimated; 200 valve zones = extensive pipe runs</t>
  </si>
  <si>
    <t xml:space="preserve">RO system (membranes, HP pumps, housings, pre-treatment)</t>
  </si>
  <si>
    <t xml:space="preserve">14%</t>
  </si>
  <si>
    <t xml:space="preserve">8 m³/h skid with 75% recovery</t>
  </si>
  <si>
    <t xml:space="preserve">Actuated valves + valve manifolds (200 count)</t>
  </si>
  <si>
    <t xml:space="preserve">12%</t>
  </si>
  <si>
    <t xml:space="preserve">200 motorised valves + associated manifolds and solenoids</t>
  </si>
  <si>
    <t xml:space="preserve">PLC/SCADA/instrumentation (sensors, controls, panels)</t>
  </si>
  <si>
    <t xml:space="preserve">200 zones of control is significant I/O</t>
  </si>
  <si>
    <t xml:space="preserve">Installation &amp; commissioning labour</t>
  </si>
  <si>
    <t xml:space="preserve">11%</t>
  </si>
  <si>
    <t xml:space="preserve">Mechanical + electrical + programming</t>
  </si>
  <si>
    <t xml:space="preserve">Fertigation/dosing system (nutrient dosing, mixing)</t>
  </si>
  <si>
    <t xml:space="preserve">10%</t>
  </si>
  <si>
    <t xml:space="preserve">Multi-zone fertigation skid</t>
  </si>
  <si>
    <t xml:space="preserve">Water storage tanks (120 m³)</t>
  </si>
  <si>
    <t xml:space="preserve">8%</t>
  </si>
  <si>
    <t xml:space="preserve">Poly/GRP tanks, permeate + raw + blend</t>
  </si>
  <si>
    <t xml:space="preserve">Pumps (transfer, irrigation, booster)</t>
  </si>
  <si>
    <t xml:space="preserve">7%</t>
  </si>
  <si>
    <t xml:space="preserve">Multiple duty/standby sets</t>
  </si>
  <si>
    <t xml:space="preserve">Filtration (pre/post, UV disinfection)</t>
  </si>
  <si>
    <t xml:space="preserve">5%</t>
  </si>
  <si>
    <t xml:space="preserve">Cartridge, media, UV for 45 m³/h</t>
  </si>
  <si>
    <t xml:space="preserve">Civil/structural (tank pads, supports, containment)</t>
  </si>
  <si>
    <t xml:space="preserve">Bund for 120 m³ storage</t>
  </si>
  <si>
    <t xml:space="preserve">LLM reasoning (how the top-down expectation was formed)</t>
  </si>
  <si>
    <t xml:space="preserve">A 6000-container cultivation facility with 200 actuated valve zones is a mid-to-large commercial fertigation build — the cost is dominated by the sheer extent of piping and valve manifold work, not the RO skid itself. The 8 m³/h RO is modest relative to the 45 m³/h irrigation demand, meaning storage buffering and blending strategy are critical. The £1.4M ceiling is achievable but tight; the system will live or die on piping/valve installation discipline and control system integration, which together account for ~40% of cost.</t>
  </si>
  <si>
    <t xml:space="preserve">⚠ Computational checks — live invariants (== the CLI verifier)</t>
  </si>
  <si>
    <t xml:space="preserve">EXACTLY the checks scripts/deterministic-checks.py reports, rendered as LIVE Excel formulas over the data cells (cols J+). Edit a data cell and STATUS recomputes. RED = the engine's numbers do not reconcile.</t>
  </si>
  <si>
    <t xml:space="preserve">ACTUAL</t>
  </si>
  <si>
    <t xml:space="preserve">EXPECTED</t>
  </si>
  <si>
    <t xml:space="preserve">Δ (actual-exp)</t>
  </si>
  <si>
    <t xml:space="preserve">Tol</t>
  </si>
  <si>
    <t xml:space="preserve">Detail / why</t>
  </si>
  <si>
    <t xml:space="preserve">DATA (live inputs — editable)</t>
  </si>
  <si>
    <t xml:space="preserve">AGGREGATE DATA — one row per collapsed per-line invariant (P=line · Q=per-unit/actual £ · R=expected £ · S=qty · T=live mismatch flag). Edit Q/R/S and the aggregate row recomputes.</t>
  </si>
  <si>
    <t xml:space="preserve">E1 · CONSISTENCY — per-unit×count, Σsub==line, rating==quantity</t>
  </si>
  <si>
    <t xml:space="preserve">BoM X-105: unit_gbp x qty == line_gbp</t>
  </si>
  <si>
    <t xml:space="preserve">All 190 BoM lines: unit £ × qty == line £ (aggregate — mismatching lines list individually)</t>
  </si>
  <si>
    <t xml:space="preserve">190 per-line invariants collapsed — each line lives in the DATA block (cols P–T, rows 5–194) with a LIVE mismatch flag at its own tolerance; ACTUAL = the number of mismatching lines. 0 exception(s) below.</t>
  </si>
  <si>
    <t xml:space="preserve">BoM X-106: unit_gbp x qty == line_gbp</t>
  </si>
  <si>
    <t xml:space="preserve">All 17 BoM lines: Σ sub-component £ == line £ (aggregate — mismatching lines list individually)</t>
  </si>
  <si>
    <t xml:space="preserve">17 per-line invariants collapsed — each line lives in the DATA block (cols P–T, rows 195–211) with a LIVE mismatch flag at its own tolerance; ACTUAL = the number of mismatching lines. 0 exception(s) below.</t>
  </si>
  <si>
    <t xml:space="preserve">BoM X-107: unit_gbp x qty == line_gbp</t>
  </si>
  <si>
    <t xml:space="preserve">BoM V-102: emitted kW rating == uv_disinfection_power_kw</t>
  </si>
  <si>
    <t xml:space="preserve">V-102 requirement states 4 kW; contract uv_disinfection_power_kw = 4.1 kW. They must agree.</t>
  </si>
  <si>
    <t xml:space="preserve">BoM X-108: unit_gbp x qty == line_gbp</t>
  </si>
  <si>
    <t xml:space="preserve">BoM P-106: emitted kW rating == fertigation_dosing_pump_power_kw</t>
  </si>
  <si>
    <t xml:space="preserve">P-106 requirement states 8 kW; contract fertigation_dosing_pump_power_kw = 7.5 kW. They must agree.</t>
  </si>
  <si>
    <t xml:space="preserve">BoM D-101: unit_gbp x qty == line_gbp</t>
  </si>
  <si>
    <t xml:space="preserve">BoM P-104: emitted kW rating == drain_transfer_pump_power_kw</t>
  </si>
  <si>
    <t xml:space="preserve">P-104 requirement states 2 kW; contract drain_transfer_pump_power_kw = 1.923 kW. They must agree.</t>
  </si>
  <si>
    <t xml:space="preserve">BoM X-109: unit_gbp x qty == line_gbp</t>
  </si>
  <si>
    <t xml:space="preserve">BoM P-101: emitted kW rating == ro_high_pressure_pump_power_kw</t>
  </si>
  <si>
    <t xml:space="preserve">P-101 requirement states 4 kW; contract ro_high_pressure_pump_power_kw = 4.2 kW. They must agree.</t>
  </si>
  <si>
    <t xml:space="preserve">BoM G-201: unit_gbp x qty == line_gbp</t>
  </si>
  <si>
    <t xml:space="preserve">modules: every described sub-module carries components (no hollow module)</t>
  </si>
  <si>
    <t xml:space="preserve">every sub-module that describes components backs its prose with ≥1 component word</t>
  </si>
  <si>
    <t xml:space="preserve">BoM U-201: unit_gbp x qty == line_gbp</t>
  </si>
  <si>
    <t xml:space="preserve">BoM EP-103: unit_gbp x qty == line_gbp</t>
  </si>
  <si>
    <t xml:space="preserve">E2 · ADEQUACY — rating ≥ duty (motor, breaker, cable, vessel, chiller)</t>
  </si>
  <si>
    <t xml:space="preserve">BoM EP-104: unit_gbp x qty == line_gbp</t>
  </si>
  <si>
    <t xml:space="preserve">Main incomer kVA &gt;= connected load x 1.25</t>
  </si>
  <si>
    <t xml:space="preserve">Incomer 75 kVA (total_supply_demand_kva) must be &gt;= 53 kW x 1.25 = 66.25 kVA (kVA &gt;= kW for any power factor); magnitude sanity ceiling &lt;= connected load 53 kW x 100 = 5300 (an absurdly-large rating must FAIL, not pass as 'adequate').</t>
  </si>
  <si>
    <t xml:space="preserve">BoM INV-1: unit_gbp x qty == line_gbp</t>
  </si>
  <si>
    <t xml:space="preserve">Cable CSA &gt;= ampacity: Standby Diesel Generator</t>
  </si>
  <si>
    <t xml:space="preserve">Mains Incomer-&gt;Standby Diesel Generator: 4.2 A needs &gt;= 1.5 mm2 copper (air-rated ladder); chosen 1.5 mm2.</t>
  </si>
  <si>
    <t xml:space="preserve">BoM X-110: unit_gbp x qty == line_gbp</t>
  </si>
  <si>
    <t xml:space="preserve">Cable CSA &gt;= ampacity: Transformer</t>
  </si>
  <si>
    <t xml:space="preserve">Standby Diesel Gen-&gt;Transformer: 4.2 A needs &gt;= 1.5 mm2 copper (air-rated ladder); chosen 1.5 mm2.</t>
  </si>
  <si>
    <t xml:space="preserve">BoM X-111: unit_gbp x qty == line_gbp</t>
  </si>
  <si>
    <t xml:space="preserve">Cable CSA &gt;= ampacity: Main Switchboard</t>
  </si>
  <si>
    <t xml:space="preserve">Transformer-&gt;Main Switchboard: 4.2 A needs &gt;= 1.5 mm2 copper (air-rated ladder); chosen 1.5 mm2.</t>
  </si>
  <si>
    <t xml:space="preserve">BoM INV-2: unit_gbp x qty == line_gbp</t>
  </si>
  <si>
    <t xml:space="preserve">Cable CSA &gt;= ampacity: Motor Control Center</t>
  </si>
  <si>
    <t xml:space="preserve">Main Switchboard-&gt;Motor Control Center: 4.2 A needs &gt;= 1.5 mm2 copper (air-rated ladder); chosen 1.5 mm2.</t>
  </si>
  <si>
    <t xml:space="preserve">BoM F-1: unit_gbp x qty == line_gbp</t>
  </si>
  <si>
    <t xml:space="preserve">Cable CSA &gt;= ampacity: 3 Phase Power Input</t>
  </si>
  <si>
    <t xml:space="preserve">Motor Control Cent-&gt;3 Phase Power Input: 4.2 A needs &gt;= 1.5 mm2 copper (air-rated ladder); chosen 1.5 mm2.</t>
  </si>
  <si>
    <t xml:space="preserve">BoM X-102: unit_gbp x qty == line_gbp</t>
  </si>
  <si>
    <t xml:space="preserve">Cable CSA &gt;= ampacity: Piping Network</t>
  </si>
  <si>
    <t xml:space="preserve">Motor Control Cent-&gt;Piping Network: 4.2 A needs &gt;= 1.5 mm2 copper (air-rated ladder); chosen 1.5 mm2.</t>
  </si>
  <si>
    <t xml:space="preserve">BoM X-112: unit_gbp x qty == line_gbp</t>
  </si>
  <si>
    <t xml:space="preserve">Cable CSA &gt;= ampacity: Uv Disinfection</t>
  </si>
  <si>
    <t xml:space="preserve">Motor Control Cent-&gt;Uv Disinfection: 8.2 A needs &gt;= 1.5 mm2 copper (air-rated ladder); chosen 1.5 mm2.</t>
  </si>
  <si>
    <t xml:space="preserve">BoM X-113: unit_gbp x qty == line_gbp</t>
  </si>
  <si>
    <t xml:space="preserve">Cable CSA &gt;= ampacity: Fertigation Dosing Pump</t>
  </si>
  <si>
    <t xml:space="preserve">Motor Control Cent-&gt;Fertigation Dosing Pump: 15 A needs &gt;= 1.5 mm2 copper (air-rated ladder); chosen 1.5 mm2.</t>
  </si>
  <si>
    <t xml:space="preserve">BoM V-102: unit_gbp x qty == line_gbp</t>
  </si>
  <si>
    <t xml:space="preserve">Cable CSA &gt;= ampacity: Hand Watering Pump</t>
  </si>
  <si>
    <t xml:space="preserve">Motor Control Cent-&gt;Hand Watering Pump: 4.2 A needs &gt;= 1.5 mm2 copper (air-rated ladder); chosen 1.5 mm2.</t>
  </si>
  <si>
    <t xml:space="preserve">BoM V-106: unit_gbp x qty == line_gbp</t>
  </si>
  <si>
    <t xml:space="preserve">Cable CSA &gt;= ampacity: Drain Transfer Pump</t>
  </si>
  <si>
    <t xml:space="preserve">Motor Control Cent-&gt;Drain Transfer Pump: 3.9 A needs &gt;= 1.5 mm2 copper (air-rated ladder); chosen 1.5 mm2.</t>
  </si>
  <si>
    <t xml:space="preserve">BoM P-106: unit_gbp x qty == line_gbp</t>
  </si>
  <si>
    <t xml:space="preserve">Cable CSA &gt;= ampacity: Cloth Filter</t>
  </si>
  <si>
    <t xml:space="preserve">Motor Control Cent-&gt;Cloth Filter: 4.2 A needs &gt;= 1.5 mm2 copper (air-rated ladder); chosen 1.5 mm2.</t>
  </si>
  <si>
    <t xml:space="preserve">BoM TK-103: unit_gbp x qty == line_gbp</t>
  </si>
  <si>
    <t xml:space="preserve">Cable CSA &gt;= ampacity: Irrigation Pump</t>
  </si>
  <si>
    <t xml:space="preserve">Motor Control Cent-&gt;Irrigation Pump: 4.2 A needs &gt;= 1.5 mm2 copper (air-rated ladder); chosen 1.5 mm2.</t>
  </si>
  <si>
    <t xml:space="preserve">BoM P-102: unit_gbp x qty == line_gbp</t>
  </si>
  <si>
    <t xml:space="preserve">Cable CSA &gt;= ampacity: Ro High Pressure Pump</t>
  </si>
  <si>
    <t xml:space="preserve">Motor Control Cent-&gt;Ro High Pressure Pump: 8.4 A needs &gt;= 1.5 mm2 copper (air-rated ladder); chosen 1.5 mm2.</t>
  </si>
  <si>
    <t xml:space="preserve">BoM TK-114: unit_gbp x qty == line_gbp</t>
  </si>
  <si>
    <t xml:space="preserve">Cable CSA &gt;= ampacity: Gac Filter</t>
  </si>
  <si>
    <t xml:space="preserve">Motor Control Cent-&gt;Gac Filter: 4.2 A needs &gt;= 1.5 mm2 copper (air-rated ladder); chosen 1.5 mm2.</t>
  </si>
  <si>
    <t xml:space="preserve">BoM P-104: unit_gbp x qty == line_gbp</t>
  </si>
  <si>
    <t xml:space="preserve">Cable CSA &gt;= ampacity: Permeate Outlet</t>
  </si>
  <si>
    <t xml:space="preserve">Motor Control Cent-&gt;Permeate Outlet: 4.2 A needs &gt;= 1.5 mm2 copper (air-rated ladder); chosen 1.5 mm2.</t>
  </si>
  <si>
    <t xml:space="preserve">BoM V-103: unit_gbp x qty == line_gbp</t>
  </si>
  <si>
    <t xml:space="preserve">Cable CSA &gt;= ampacity: Concentrate Outlet</t>
  </si>
  <si>
    <t xml:space="preserve">Motor Control Cent-&gt;Concentrate Outlet: 4.2 A needs &gt;= 1.5 mm2 copper (air-rated ladder); chosen 1.5 mm2.</t>
  </si>
  <si>
    <t xml:space="preserve">BoM V-105: unit_gbp x qty == line_gbp</t>
  </si>
  <si>
    <t xml:space="preserve">Cable CSA &gt;= ampacity: Electrical Control Panel</t>
  </si>
  <si>
    <t xml:space="preserve">Motor Control Cent-&gt;Electrical Control Panel: 4.2 A needs &gt;= 1.5 mm2 copper (air-rated ladder); chosen 1.5 mm2.</t>
  </si>
  <si>
    <t xml:space="preserve">BoM P-103: unit_gbp x qty == line_gbp</t>
  </si>
  <si>
    <t xml:space="preserve">Cable CSA &gt;= ampacity: Control + Instrument UPS</t>
  </si>
  <si>
    <t xml:space="preserve">Motor Control Cent-&gt;Control + Instrument UPS: 4.2 A needs &gt;= 1.5 mm2 copper (air-rated ladder); chosen 1.5 mm2.</t>
  </si>
  <si>
    <t xml:space="preserve">BoM M-101: unit_gbp x qty == line_gbp</t>
  </si>
  <si>
    <t xml:space="preserve">Cable CSA &gt;= ampacity: SCADA / Plant Control Sy</t>
  </si>
  <si>
    <t xml:space="preserve">Motor Control Cent-&gt;SCADA / Plant Control Sy: 4.2 A needs &gt;= 1.5 mm2 copper (air-rated ladder); chosen 1.5 mm2.</t>
  </si>
  <si>
    <t xml:space="preserve">BoM Z-101: unit_gbp x qty == line_gbp</t>
  </si>
  <si>
    <t xml:space="preserve">Cable CSA &gt;= ampacity: Electrical Control Cabin</t>
  </si>
  <si>
    <t xml:space="preserve">Motor Control Cent-&gt;Electrical Control Cabin: 4.2 A needs &gt;= 1.5 mm2 copper (air-rated ladder); chosen 1.5 mm2.</t>
  </si>
  <si>
    <t xml:space="preserve">BoM P-101: unit_gbp x qty == line_gbp</t>
  </si>
  <si>
    <t xml:space="preserve">BoM V-101: unit_gbp x qty == line_gbp</t>
  </si>
  <si>
    <t xml:space="preserve">E4 · COST — per-line price band &amp; Σ lines == cover total</t>
  </si>
  <si>
    <t xml:space="preserve">BoM TK-108: unit_gbp x qty == line_gbp</t>
  </si>
  <si>
    <t xml:space="preserve">BoM X-105: unit price within x5 of distributor_price_gbp</t>
  </si>
  <si>
    <t xml:space="preserve">X-105 (Rittal 1180.000): BoM unit £672 vs distributor_price_gbp £672 = x1.0. Flag when &gt;x5 or &lt;x0.2.</t>
  </si>
  <si>
    <t xml:space="preserve">BoM TK-106: unit_gbp x qty == line_gbp</t>
  </si>
  <si>
    <t xml:space="preserve">BoM X-106: unit price within x5 of distributor_price_gbp</t>
  </si>
  <si>
    <t xml:space="preserve">X-106 (ABB 1SDA067417R1): BoM unit £283 vs distributor_price_gbp £283 = x1.0. Flag when &gt;x5 or &lt;x0.2.</t>
  </si>
  <si>
    <t xml:space="preserve">BoM X-114: unit_gbp x qty == line_gbp</t>
  </si>
  <si>
    <t xml:space="preserve">BoM D-101: unit price within x5 of distributor_price_gbp</t>
  </si>
  <si>
    <t xml:space="preserve">D-101 (TDK-Lambda DRB240-24-3-A0): BoM unit £148 vs distributor_price_gbp £148 = x1.0. Flag when &gt;x5 or &lt;x0.2.</t>
  </si>
  <si>
    <t xml:space="preserve">BoM F-2: unit_gbp x qty == line_gbp</t>
  </si>
  <si>
    <t xml:space="preserve">BoM X-110: unit price within x5 of distributor_price_gbp</t>
  </si>
  <si>
    <t xml:space="preserve">X-110 (ABB 1SDA067417R1): BoM unit £283 vs distributor_price_gbp £283 = x1.0. Flag when &gt;x5 or &lt;x0.2.</t>
  </si>
  <si>
    <t xml:space="preserve">BoM X-115: unit_gbp x qty == line_gbp</t>
  </si>
  <si>
    <t xml:space="preserve">BoM V-102: unit price within x5 of price_estimate_gbp</t>
  </si>
  <si>
    <t xml:space="preserve">V-102 (WEDECO (Xylem) Spektron 30e): BoM unit £17,540 vs price_estimate_gbp £12,012 = x1.5. Flag when &gt;x5 or &lt;x0.2.</t>
  </si>
  <si>
    <t xml:space="preserve">BoM X-116: unit_gbp x qty == line_gbp</t>
  </si>
  <si>
    <t xml:space="preserve">BoM P-106: unit price within x5 of price_estimate_gbp</t>
  </si>
  <si>
    <t xml:space="preserve">P-106 (Grundfos 96122012): BoM unit £8,634 vs price_estimate_gbp £8,634 = x1.0. Flag when &gt;x5 or &lt;x0.2.</t>
  </si>
  <si>
    <t xml:space="preserve">BoM X-117: unit_gbp x qty == line_gbp</t>
  </si>
  <si>
    <t xml:space="preserve">BoM P-102: unit price within x5 of price_estimate_gbp</t>
  </si>
  <si>
    <t xml:space="preserve">P-102 (Grundfos 96935501): price GROUNDED to the market band (£2,500); the pre-grounding price_estimate_gbp £7,796 was rejected as out-of-band — banding against it is not meaningful.</t>
  </si>
  <si>
    <t xml:space="preserve">BoM X-118: unit_gbp x qty == line_gbp</t>
  </si>
  <si>
    <t xml:space="preserve">BoM P-103: unit price within x5 of price_estimate_gbp</t>
  </si>
  <si>
    <t xml:space="preserve">P-103 (Grundfos 96539165): BoM unit £9,413 vs price_estimate_gbp £9,413 = x1.0. Flag when &gt;x5 or &lt;x0.2.</t>
  </si>
  <si>
    <t xml:space="preserve">BoM X-119: unit_gbp x qty == line_gbp</t>
  </si>
  <si>
    <t xml:space="preserve">BoM X-115: unit price within x5 of distributor_price_gbp</t>
  </si>
  <si>
    <t xml:space="preserve">X-115 (Siemens 6ES7212-1AE40-0XB0): BoM unit £313 vs distributor_price_gbp £313 = x1.0. Flag when &gt;x5 or &lt;x0.2.</t>
  </si>
  <si>
    <t xml:space="preserve">BoM X-120: unit_gbp x qty == line_gbp</t>
  </si>
  <si>
    <t xml:space="preserve">BoM X-117: unit price within x5 of distributor_price_gbp</t>
  </si>
  <si>
    <t xml:space="preserve">X-117 (Siemens 6ES7241-1CH32-0XB0): BoM unit £160 vs distributor_price_gbp £160 = x1.0. Flag when &gt;x5 or &lt;x0.2.</t>
  </si>
  <si>
    <t xml:space="preserve">BoM X-121: unit_gbp x qty == line_gbp</t>
  </si>
  <si>
    <t xml:space="preserve">BoM X-119: unit price within x5 of distributor_price_gbp</t>
  </si>
  <si>
    <t xml:space="preserve">X-119 (HMS Networks (Ewon) FLEXY20500_00MA): BoM unit £985 vs distributor_price_gbp £985 = x1.0. Flag when &gt;x5 or &lt;x0.2.</t>
  </si>
  <si>
    <t xml:space="preserve">BoM X-122: unit_gbp x qty == line_gbp</t>
  </si>
  <si>
    <t xml:space="preserve">BoM X-121: unit price within x5 of distributor_price_gbp</t>
  </si>
  <si>
    <t xml:space="preserve">X-121 (Panasonic Industrial Automation AWHS1R070): BoM unit £595 vs distributor_price_gbp £595 = x1.0. Flag when &gt;x5 or &lt;x0.2.</t>
  </si>
  <si>
    <t xml:space="preserve">BoM X-123: unit_gbp x qty == line_gbp</t>
  </si>
  <si>
    <t xml:space="preserve">BoM X-122: unit price within x5 of distributor_price_gbp</t>
  </si>
  <si>
    <t xml:space="preserve">X-122 (Siemens 6ES7212-1AE40-0XB0): BoM unit £313 vs distributor_price_gbp £313 = x1.0. Flag when &gt;x5 or &lt;x0.2.</t>
  </si>
  <si>
    <t xml:space="preserve">BoM X-124: unit_gbp x qty == line_gbp</t>
  </si>
  <si>
    <t xml:space="preserve">BoM X-124: unit price within x5 of distributor_price_gbp</t>
  </si>
  <si>
    <t xml:space="preserve">X-124 (HMS Networks (Ewon) FLEXY20500_00MA): BoM unit £500 vs distributor_price_gbp £985 = x0.5. Flag when &gt;x5 or &lt;x0.2.</t>
  </si>
  <si>
    <t xml:space="preserve">BoM I-103: unit_gbp x qty == line_gbp</t>
  </si>
  <si>
    <t xml:space="preserve">BoM X-125: unit price within x5 of distributor_price_gbp</t>
  </si>
  <si>
    <t xml:space="preserve">X-125 (Sensata Technologies, Inc. SOL7A4): BoM unit £424 vs distributor_price_gbp £424 = x1.0. Flag when &gt;x5 or &lt;x0.2.</t>
  </si>
  <si>
    <t xml:space="preserve">BoM X-125: unit_gbp x qty == line_gbp</t>
  </si>
  <si>
    <t xml:space="preserve">BoM X-128: unit price within x5 of price_estimate_gbp</t>
  </si>
  <si>
    <t xml:space="preserve">X-128 (Pentair Fleck 2900S): BoM unit £18 vs price_estimate_gbp £18 = x1.0. Flag when &gt;x5 or &lt;x0.2.</t>
  </si>
  <si>
    <t xml:space="preserve">BoM X-126: unit_gbp x qty == line_gbp</t>
  </si>
  <si>
    <t xml:space="preserve">BoM V-107: unit price within x5 of distributor_price_gbp</t>
  </si>
  <si>
    <t xml:space="preserve">V-107 (Sensata Technologies, Inc. SOL7A4): BoM unit £424 vs distributor_price_gbp £424 = x1.0. Flag when &gt;x5 or &lt;x0.2.</t>
  </si>
  <si>
    <t xml:space="preserve">BoM X-127: unit_gbp x qty == line_gbp</t>
  </si>
  <si>
    <t xml:space="preserve">BoM I-108: unit price within x5 of price_estimate_gbp</t>
  </si>
  <si>
    <t xml:space="preserve">I-108 (Hach 5500sc): BoM unit £280 vs price_estimate_gbp £280 = x1.0. Flag when &gt;x5 or &lt;x0.2.</t>
  </si>
  <si>
    <t xml:space="preserve">BoM X-128: unit_gbp x qty == line_gbp</t>
  </si>
  <si>
    <t xml:space="preserve">BoM X-133: unit price within x5 of distributor_price_gbp</t>
  </si>
  <si>
    <t xml:space="preserve">X-133 (Phoenix Contact 2838199): BoM unit £250 vs distributor_price_gbp £250 = x1.0. Flag when &gt;x5 or &lt;x0.2.</t>
  </si>
  <si>
    <t xml:space="preserve">BoM FCV-201–202: unit_gbp x qty == line_gbp</t>
  </si>
  <si>
    <t xml:space="preserve">BoM I-111: unit price within x5 of own catalogue quote (engine-B corpus)</t>
  </si>
  <si>
    <t xml:space="preserve">I-111 (Danfoss 060-121966): BoM unit £76 vs own catalogue quote (engine-B corpus) £76 = x1.0. Flag when &gt;x5 or &lt;x0.2.</t>
  </si>
  <si>
    <t xml:space="preserve">BoM V-107: unit_gbp x qty == line_gbp</t>
  </si>
  <si>
    <t xml:space="preserve">BoM X-141: unit price within x5 of price_estimate_gbp</t>
  </si>
  <si>
    <t xml:space="preserve">X-141 (Eaton 216516): BoM unit £40 vs price_estimate_gbp £35 = x1.1. Flag when &gt;x5 or &lt;x0.2.</t>
  </si>
  <si>
    <t xml:space="preserve">BoM V-108: unit_gbp x qty == line_gbp</t>
  </si>
  <si>
    <t xml:space="preserve">BoM X-142: unit price within x5 of price_estimate_gbp</t>
  </si>
  <si>
    <t xml:space="preserve">X-142 (Legrand SRFL100G): BoM unit £45 vs price_estimate_gbp £45 = x1.0. Flag when &gt;x5 or &lt;x0.2.</t>
  </si>
  <si>
    <t xml:space="preserve">BoM V-109: unit_gbp x qty == line_gbp</t>
  </si>
  <si>
    <t xml:space="preserve">BoM X-145: unit price within x5 of distributor_price_gbp</t>
  </si>
  <si>
    <t xml:space="preserve">X-145 (Siemens 3RU2126-4DB0): BoM unit £345 vs distributor_price_gbp £121 = x2.9. Flag when &gt;x5 or &lt;x0.2.</t>
  </si>
  <si>
    <t xml:space="preserve">BoM X-129: unit_gbp x qty == line_gbp</t>
  </si>
  <si>
    <t xml:space="preserve">BoM I-114: unit price within x5 of price_estimate_gbp</t>
  </si>
  <si>
    <t xml:space="preserve">I-114 (Eaton 216516): BoM unit £40 vs price_estimate_gbp £35 = x1.1. Flag when &gt;x5 or &lt;x0.2.</t>
  </si>
  <si>
    <t xml:space="preserve">BoM X-130: unit_gbp x qty == line_gbp</t>
  </si>
  <si>
    <t xml:space="preserve">Sigma requirementsBom.line_gbp == cover grand total</t>
  </si>
  <si>
    <t xml:space="preserve">Sum of 435 BoM line_gbp values vs parts-ledger.grand_total_gbp.</t>
  </si>
  <si>
    <t xml:space="preserve">BoM I-104: unit_gbp x qty == line_gbp</t>
  </si>
  <si>
    <t xml:space="preserve">BoM I-105: unit_gbp x qty == line_gbp</t>
  </si>
  <si>
    <t xml:space="preserve">E5 · CONNECTIVITY/SPEC — out-of-spec tally &amp; velocity limit</t>
  </si>
  <si>
    <t xml:space="preserve">BoM I-106: unit_gbp x qty == line_gbp</t>
  </si>
  <si>
    <t xml:space="preserve">Process parts with both fluid in+out (coverage &gt;= 80%)</t>
  </si>
  <si>
    <t xml:space="preserve">14 of 14 process parts are fully connected (fluid in AND out). The connection graph is incomplete below 80% — a vessel/pump/valve with a missing feed or discharge is a topology gap. 14 concern(s) total.</t>
  </si>
  <si>
    <t xml:space="preserve">BoM I-107: unit_gbp x qty == line_gbp</t>
  </si>
  <si>
    <t xml:space="preserve">Instruments associated to what they measure (coverage &gt;= 80%)</t>
  </si>
  <si>
    <t xml:space="preserve">14 of 14 instruments are wired (&gt;=1 signal/sense association). Below 80% leaves orphan sensors not tied to the process or the control system.</t>
  </si>
  <si>
    <t xml:space="preserve">BoM LT-201–213: unit_gbp x qty == line_gbp</t>
  </si>
  <si>
    <t xml:space="preserve">Ledger completeness: every part shows its required input + output</t>
  </si>
  <si>
    <t xml:space="preserve">0 part(s) are missing a required connection in the authored ledger — the design is not fully connected. Each process part must show a fluid INPUT and OUTPUT (naming what it connects to/from); a powered part a power feed; an instrument a signal tie. All parts fully connected. Fix at the ledger completion (close every part's missing direction), not by inventing a render pipe.</t>
  </si>
  <si>
    <t xml:space="preserve">BoM LT-214: unit_gbp x qty == line_gbp</t>
  </si>
  <si>
    <t xml:space="preserve">Ledger referential integrity: every connection names a real part</t>
  </si>
  <si>
    <t xml:space="preserve">0 connection reference(s) point to a name that is not an authored part — the graph is not fully traceable. Every edge A→B must name B by its exact part name AND appear in B's inputs. All references resolve; the whole system is traceable part-to-part.</t>
  </si>
  <si>
    <t xml:space="preserve">BoM LT-215–217: unit_gbp x qty == line_gbp</t>
  </si>
  <si>
    <t xml:space="preserve">Connection rows within_spec == false (tally)</t>
  </si>
  <si>
    <t xml:space="preserve">0 of 74 connection runs are out of spec (e.g. over-velocity pipe / over-voltdrop cable). All within spec.</t>
  </si>
  <si>
    <t xml:space="preserve">BoM AT-201: unit_gbp x qty == line_gbp</t>
  </si>
  <si>
    <t xml:space="preserve">Worst pipe velocity &lt;= spec limit (DN80)</t>
  </si>
  <si>
    <t xml:space="preserve">DN80 carries 1.457 m/s vs its stated limit 3 m/s. Over-velocity = erosion / head loss (0 pipe specs over limit).</t>
  </si>
  <si>
    <t xml:space="preserve">BoM PT-201–217: unit_gbp x qty == line_gbp</t>
  </si>
  <si>
    <t xml:space="preserve">Longest connection run &lt;= plant diagonal x 1.8 (length plausibility)</t>
  </si>
  <si>
    <t xml:space="preserve">Longest routed run 36 m (Permeate Outlet -&gt; Cip Tank) vs plant footprint diagonal 30 m. A run beyond ~1.8x the diagonal is not physical inside the plant envelope -&gt; the layout is loose and its length x GBP/m cost is inflated. Fix at the placement source (cluster connected equipment), not the cost rate.</t>
  </si>
  <si>
    <t xml:space="preserve">BoM I-108: unit_gbp x qty == line_gbp</t>
  </si>
  <si>
    <t xml:space="preserve">Total connection length &lt;= diagonal x n_runs x 1.25</t>
  </si>
  <si>
    <t xml:space="preserve">Total routed connection length 661 m over 48 runs vs a plausible 1814 m (diagonal 30 m x 48 runs x 1.25). A systemic overshoot means the layout strings equipment wider than the building -&gt; inflated pipe/cable take-off.</t>
  </si>
  <si>
    <t xml:space="preserve">BoM I-109: unit_gbp x qty == line_gbp</t>
  </si>
  <si>
    <t xml:space="preserve">BoM I-110: unit_gbp x qty == line_gbp</t>
  </si>
  <si>
    <t xml:space="preserve">E6 · BRIEF — design realises each stated brief target metric (±5%)</t>
  </si>
  <si>
    <t xml:space="preserve">BoM X-131: unit_gbp x qty == line_gbp</t>
  </si>
  <si>
    <t xml:space="preserve">Brief target met: water_storage_capacity_m3</t>
  </si>
  <si>
    <t xml:space="preserve">Brief target water_storage_capacity_m3 = 120 m3; design (water_storage_capacity_m3) = 120 m3 — the design must realise the brief target within ±5%.</t>
  </si>
  <si>
    <t xml:space="preserve">BoM EP-102: unit_gbp x qty == line_gbp</t>
  </si>
  <si>
    <t xml:space="preserve">Brief target met: irrigation_demand_m3_per_hr</t>
  </si>
  <si>
    <t xml:space="preserve">Brief target irrigation_demand_m3_per_hr = 45 m3/h; design (irrigation_demand_m3_h) = 90 m3/h — the design must realise the brief target within ±5%.</t>
  </si>
  <si>
    <t xml:space="preserve">BoM EP-101: unit_gbp x qty == line_gbp</t>
  </si>
  <si>
    <t xml:space="preserve">Brief target met: ro_permeate_capacity_m3_per_hr</t>
  </si>
  <si>
    <t xml:space="preserve">Brief target ro_permeate_capacity_m3_per_hr = 8 m3/h; design (ro_permeate_capacity_m3_h) = 8 m3/h — the design must realise the brief target within ±5%.</t>
  </si>
  <si>
    <t xml:space="preserve">BoM X-132: unit_gbp x qty == line_gbp</t>
  </si>
  <si>
    <t xml:space="preserve">Brief target met: hand_watering_capacity_m3_per_hr</t>
  </si>
  <si>
    <t xml:space="preserve">Brief target hand_watering_capacity_m3_per_hr = 25 m3/h; design (hand_watering_pump_throughput_m3_h) = 25 m3/h — the design must realise the brief target within ±5%.</t>
  </si>
  <si>
    <t xml:space="preserve">BoM X-133: unit_gbp x qty == line_gbp</t>
  </si>
  <si>
    <t xml:space="preserve">Brief target met: ro_recovery_percent</t>
  </si>
  <si>
    <t xml:space="preserve">Brief target ro_recovery_percent = 75 %; design (ro_recovery_percent) = 75 % — the design must realise the brief target within ±5%.</t>
  </si>
  <si>
    <t xml:space="preserve">BoM X-104: unit_gbp x qty == line_gbp</t>
  </si>
  <si>
    <t xml:space="preserve">BoM X-103: unit_gbp x qty == line_gbp</t>
  </si>
  <si>
    <t xml:space="preserve">E7 · PROVENANCE — every engineering-tool output is actually USED by the design (no stale/orphaned tool computations)</t>
  </si>
  <si>
    <t xml:space="preserve">BoM X-134: unit_gbp x qty == line_gbp</t>
  </si>
  <si>
    <t xml:space="preserve">Tool output used: incident_energy_cal_cm2</t>
  </si>
  <si>
    <t xml:space="preserve">arc-flash:ieee-1584 incident_energy_cal_cm2=0.741 matches contract incident_energy_cal_cm2.</t>
  </si>
  <si>
    <t xml:space="preserve">BoM X-135: unit_gbp x qty == line_gbp</t>
  </si>
  <si>
    <t xml:space="preserve">Tool output used: ph_control_kp</t>
  </si>
  <si>
    <t xml:space="preserve">control-systems:pid-tuning ph_control_kp=0.296464 matches contract ph_control_kp.</t>
  </si>
  <si>
    <t xml:space="preserve">BoM X-136: unit_gbp x qty == line_gbp</t>
  </si>
  <si>
    <t xml:space="preserve">Tool output used: main_feeder_cable_csa_mm2</t>
  </si>
  <si>
    <t xml:space="preserve">electrical:cable-sizing main_feeder_cable_csa_mm2=25 matches contract main_feeder_cable_csa_mm2.</t>
  </si>
  <si>
    <t xml:space="preserve">BoM X-137: unit_gbp x qty == line_gbp</t>
  </si>
  <si>
    <t xml:space="preserve">Tool output used: cable_voltdrop_pct</t>
  </si>
  <si>
    <t xml:space="preserve">electrical:cable-sizing cable_voltdrop_pct=2.03 matches contract cable_voltdrop_pct.</t>
  </si>
  <si>
    <t xml:space="preserve">BoM TX-101: unit_gbp x qty == line_gbp</t>
  </si>
  <si>
    <t xml:space="preserve">Tool output used: transformer_kva</t>
  </si>
  <si>
    <t xml:space="preserve">electrical:transformer-sizing transformer_kva=75 matches contract transformer_kva.</t>
  </si>
  <si>
    <t xml:space="preserve">BoM X-138: unit_gbp x qty == line_gbp</t>
  </si>
  <si>
    <t xml:space="preserve">Tool output used: transformer_secondary_current_a</t>
  </si>
  <si>
    <t xml:space="preserve">electrical:transformer-sizing transformer_secondary_current_a=108.25 matches contract transformer_secondary_current_a.</t>
  </si>
  <si>
    <t xml:space="preserve">BoM X-139: unit_gbp x qty == line_gbp</t>
  </si>
  <si>
    <t xml:space="preserve">Tool output used: uv_disinfection_throughput_m3_h</t>
  </si>
  <si>
    <t xml:space="preserve">first-principles:disinfection uv_disinfection_throughput_m3_h=90 matches contract uv_disinfection_throughput_m3_h.</t>
  </si>
  <si>
    <t xml:space="preserve">BoM X-140: unit_gbp x qty == line_gbp</t>
  </si>
  <si>
    <t xml:space="preserve">Tool output used: uv_disinfection_power_kw</t>
  </si>
  <si>
    <t xml:space="preserve">first-principles:disinfection uv_disinfection_power_kw=4.1 matches contract uv_disinfection_power_kw.</t>
  </si>
  <si>
    <t xml:space="preserve">BoM F-3: unit_gbp x qty == line_gbp</t>
  </si>
  <si>
    <t xml:space="preserve">Tool output used: uv_disinfection_count</t>
  </si>
  <si>
    <t xml:space="preserve">first-principles:disinfection uv_disinfection_count=1 matches contract uv_disinfection_count.</t>
  </si>
  <si>
    <t xml:space="preserve">BoM V-110: unit_gbp x qty == line_gbp</t>
  </si>
  <si>
    <t xml:space="preserve">Tool output used: connected_electrical_load_kw</t>
  </si>
  <si>
    <t xml:space="preserve">first-principles:electrical connected_electrical_load_kw=53 matches contract connected_electrical_load_kw.</t>
  </si>
  <si>
    <t xml:space="preserve">BoM I-111: unit_gbp x qty == line_gbp</t>
  </si>
  <si>
    <t xml:space="preserve">Tool output used: irrigation_demand_m3_h</t>
  </si>
  <si>
    <t xml:space="preserve">first-principles:process irrigation_demand_m3_h=90 matches contract irrigation_demand_m3_h.</t>
  </si>
  <si>
    <t xml:space="preserve">BoM I-112: unit_gbp x qty == line_gbp</t>
  </si>
  <si>
    <t xml:space="preserve">Tool output used: water_storage_capacity_m3</t>
  </si>
  <si>
    <t xml:space="preserve">first-principles:process water_storage_capacity_m3=120 matches contract water_storage_capacity_m3.</t>
  </si>
  <si>
    <t xml:space="preserve">BoM X-141: unit_gbp x qty == line_gbp</t>
  </si>
  <si>
    <t xml:space="preserve">Tool output used: softener_vessel_volume_each_m3</t>
  </si>
  <si>
    <t xml:space="preserve">first-principles:process softener_vessel_volume_each_m3=1.5 matches contract softener_vessel_volume_each_m3.</t>
  </si>
  <si>
    <t xml:space="preserve">BoM I-102: unit_gbp x qty == line_gbp</t>
  </si>
  <si>
    <t xml:space="preserve">Tool output used: fertigation_dosing_capacity_m3_per_hr</t>
  </si>
  <si>
    <t xml:space="preserve">first-principles:process fertigation_dosing_capacity_m3_per_hr=90 matches contract fertigation_dosing_capacity_m3_per_hr.</t>
  </si>
  <si>
    <t xml:space="preserve">BoM X-142: unit_gbp x qty == line_gbp</t>
  </si>
  <si>
    <t xml:space="preserve">Tool output used: total_supply_demand_kw</t>
  </si>
  <si>
    <t xml:space="preserve">first-principles:process total_supply_demand_kw=53 matches contract total_supply_demand_kw.</t>
  </si>
  <si>
    <t xml:space="preserve">BoM X-143: unit_gbp x qty == line_gbp</t>
  </si>
  <si>
    <t xml:space="preserve">Tool output used: main_incomer_breaker_a</t>
  </si>
  <si>
    <t xml:space="preserve">first-principles:process main_incomer_breaker_a=106 matches contract main_incomer_breaker_a.</t>
  </si>
  <si>
    <t xml:space="preserve">BoM X-144: unit_gbp x qty == line_gbp</t>
  </si>
  <si>
    <t xml:space="preserve">Tool output used: main_incomer_breaker_frame_a</t>
  </si>
  <si>
    <t xml:space="preserve">first-principles:process main_incomer_breaker_frame_a=125 matches contract main_incomer_breaker_frame_a.</t>
  </si>
  <si>
    <t xml:space="preserve">BoM I-113: unit_gbp x qty == line_gbp</t>
  </si>
  <si>
    <t xml:space="preserve">Tool output used: gac_filter_vessel_volume_m3</t>
  </si>
  <si>
    <t xml:space="preserve">first-principles:solids gac_filter_vessel_volume_m3=1.8 matches contract gac_filter_vessel_volume_m3.</t>
  </si>
  <si>
    <t xml:space="preserve">BoM V-111: unit_gbp x qty == line_gbp</t>
  </si>
  <si>
    <t xml:space="preserve">Tool output used: gac_vessel_diameter_m</t>
  </si>
  <si>
    <t xml:space="preserve">gac-filter:liquid-phase-sizing gac_vessel_diameter_m=1.35875 matches contract gac_vessel_diameter_m.</t>
  </si>
  <si>
    <t xml:space="preserve">BoM X-145: unit_gbp x qty == line_gbp</t>
  </si>
  <si>
    <t xml:space="preserve">Tool output used: softener_salt_consumption_max_kg_per_regen</t>
  </si>
  <si>
    <t xml:space="preserve">ion-exchange:softener-sizing softener_salt_consumption_max_kg_per_regen=46.1993 matches contract softener_salt_consumption_max_kg_per_regen.</t>
  </si>
  <si>
    <t xml:space="preserve">BoM I-114: unit_gbp x qty == line_gbp</t>
  </si>
  <si>
    <t xml:space="preserve">Tool output used: drain_collection_sump_volume_each_m3</t>
  </si>
  <si>
    <t xml:space="preserve">irrigation:ebb-flow-demand drain_collection_sump_volume_each_m3=5 matches contract drain_collection_sump_volume_each_m3.</t>
  </si>
  <si>
    <t xml:space="preserve">BoM X-146: unit_gbp x qty == line_gbp</t>
  </si>
  <si>
    <t xml:space="preserve">Tool output used: irrigation_pump_motor_kw</t>
  </si>
  <si>
    <t xml:space="preserve">irrigation:pump-sizing irrigation_pump_motor_kw=9.653 matches contract irrigation_pump_motor_kw.</t>
  </si>
  <si>
    <t xml:space="preserve">BoM X-147: unit_gbp x qty == line_gbp</t>
  </si>
  <si>
    <t xml:space="preserve">Tool output used: irrigation_pump_flow_m3_h</t>
  </si>
  <si>
    <t xml:space="preserve">irrigation:pump-sizing irrigation_pump_flow_m3_h=90 matches contract irrigation_pump_flow_m3_h.</t>
  </si>
  <si>
    <t xml:space="preserve">BoM X-148: unit_gbp x qty == line_gbp</t>
  </si>
  <si>
    <t xml:space="preserve">Tool output used: total_system_mass_kg</t>
  </si>
  <si>
    <t xml:space="preserve">mass-aggregator:envelope-check total_system_mass_kg=1500.8 matches contract total_system_mass_kg.</t>
  </si>
  <si>
    <t xml:space="preserve">BoM X-149: unit_gbp x qty == line_gbp</t>
  </si>
  <si>
    <t xml:space="preserve">Tool output used: cloth_filter_area_m2</t>
  </si>
  <si>
    <t xml:space="preserve">mechanical-filtration:cloth-screen cloth_filter_area_m2=3.46572 matches contract cloth_filter_area_m2.</t>
  </si>
  <si>
    <t xml:space="preserve">BoM X-101: unit_gbp x qty == line_gbp</t>
  </si>
  <si>
    <t xml:space="preserve">Tool output used: filter_hydraulic_loading_m_h</t>
  </si>
  <si>
    <t xml:space="preserve">mechanical-filtration:cloth-screen filter_hydraulic_loading_m_h=23.0832 matches contract filter_hydraulic_loading_m_h.</t>
  </si>
  <si>
    <t xml:space="preserve">BoM TK-102: unit_gbp x qty == line_gbp</t>
  </si>
  <si>
    <t xml:space="preserve">Tool output used: acid_dose_rate_ml_min</t>
  </si>
  <si>
    <t xml:space="preserve">ph-titration:sizing acid_dose_rate_ml_min=640 matches contract acid_dose_rate_ml_min.</t>
  </si>
  <si>
    <t xml:space="preserve">BoM X-150: unit_gbp x qty == line_gbp</t>
  </si>
  <si>
    <t xml:space="preserve">Tool output used: gac_vessel_mass_kg</t>
  </si>
  <si>
    <t xml:space="preserve">pressure-vessel:design gac_vessel_mass_kg=600.811 matches contract gac_vessel_mass_kg.</t>
  </si>
  <si>
    <t xml:space="preserve">BoM TK-101: unit_gbp x qty == line_gbp</t>
  </si>
  <si>
    <t xml:space="preserve">Tool output used: softener_vessel_mass_kg</t>
  </si>
  <si>
    <t xml:space="preserve">pressure-vessel:design softener_vessel_mass_kg=556.127 matches contract softener_vessel_mass_kg.</t>
  </si>
  <si>
    <t xml:space="preserve">BoM C01: unit_gbp x qty == line_gbp</t>
  </si>
  <si>
    <t xml:space="preserve">Tool output used: fertigation_dosing_pump_power_kw</t>
  </si>
  <si>
    <t xml:space="preserve">process:pump-sizing fertigation_dosing_pump_power_kw=7.5 matches contract fertigation_dosing_pump_power_kw.</t>
  </si>
  <si>
    <t xml:space="preserve">BoM C02: unit_gbp x qty == line_gbp</t>
  </si>
  <si>
    <t xml:space="preserve">Tool output used: drain_transfer_pump_power_kw</t>
  </si>
  <si>
    <t xml:space="preserve">process:pump-sizing drain_transfer_pump_power_kw=1.923 matches contract drain_transfer_pump_power_kw.</t>
  </si>
  <si>
    <t xml:space="preserve">BoM C03: unit_gbp x qty == line_gbp</t>
  </si>
  <si>
    <t xml:space="preserve">Tool output used: fresh_water_storage_capacity_m3</t>
  </si>
  <si>
    <t xml:space="preserve">water-storage:buffer-sizing fresh_water_storage_capacity_m3=40 matches contract fresh_water_storage_capacity_m3.</t>
  </si>
  <si>
    <t xml:space="preserve">BoM C04: unit_gbp x qty == line_gbp</t>
  </si>
  <si>
    <t xml:space="preserve">Tool output used: drain_water_tank_volume_each_m3</t>
  </si>
  <si>
    <t xml:space="preserve">water-storage:buffer-sizing drain_water_tank_volume_each_m3=40 matches contract drain_water_tank_volume_each_m3.</t>
  </si>
  <si>
    <t xml:space="preserve">BoM C05: unit_gbp x qty == line_gbp</t>
  </si>
  <si>
    <t xml:space="preserve">Tool output used: total_water_storage_volume_m3</t>
  </si>
  <si>
    <t xml:space="preserve">water-storage:buffer-sizing total_water_storage_volume_m3=261.6 matches contract total_water_storage_volume_m3.</t>
  </si>
  <si>
    <t xml:space="preserve">BoM C06: unit_gbp x qty == line_gbp</t>
  </si>
  <si>
    <t xml:space="preserve">Tool output used: ro_membrane_area_m2</t>
  </si>
  <si>
    <t xml:space="preserve">water-treatment-ro:sizing ro_membrane_area_m2=363.6 matches contract ro_membrane_area_m2.</t>
  </si>
  <si>
    <t xml:space="preserve">BoM C07: unit_gbp x qty == line_gbp</t>
  </si>
  <si>
    <t xml:space="preserve">Tool output used: ro_permeate_production_m3_per_hr</t>
  </si>
  <si>
    <t xml:space="preserve">water-treatment-ro:sizing ro_permeate_production_m3_per_hr=8 matches contract ro_permeate_production_m3_per_hr.</t>
  </si>
  <si>
    <t xml:space="preserve">BoM C08: unit_gbp x qty == line_gbp</t>
  </si>
  <si>
    <t xml:space="preserve">Tool output used: estimated_capex_gbp</t>
  </si>
  <si>
    <t xml:space="preserve">water-treatment-ro:sizing estimated_capex_gbp=115727 matches contract estimated_capex_gbp.</t>
  </si>
  <si>
    <t xml:space="preserve">BoM C09: unit_gbp x qty == line_gbp</t>
  </si>
  <si>
    <t xml:space="preserve">BoM C10: unit_gbp x qty == line_gbp</t>
  </si>
  <si>
    <t xml:space="preserve">BoM C11: unit_gbp x qty == line_gbp</t>
  </si>
  <si>
    <t xml:space="preserve">BoM C12: unit_gbp x qty == line_gbp</t>
  </si>
  <si>
    <t xml:space="preserve">Brief compliance — every target vs achieved vs PASS/FAIL</t>
  </si>
  <si>
    <t xml:space="preserve">BoM C13: unit_gbp x qty == line_gbp</t>
  </si>
  <si>
    <t xml:space="preserve">BoM C14: unit_gbp x qty == line_gbp</t>
  </si>
  <si>
    <t xml:space="preserve">BoM C15: unit_gbp x qty == line_gbp</t>
  </si>
  <si>
    <t xml:space="preserve">BoM C16: unit_gbp x qty == line_gbp</t>
  </si>
  <si>
    <t xml:space="preserve">BoM C17: unit_gbp x qty == line_gbp</t>
  </si>
  <si>
    <t xml:space="preserve">BoM C18: unit_gbp x qty == line_gbp</t>
  </si>
  <si>
    <t xml:space="preserve">BoM C19: unit_gbp x qty == line_gbp</t>
  </si>
  <si>
    <t xml:space="preserve">BoM C20: unit_gbp x qty == line_gbp</t>
  </si>
  <si>
    <t xml:space="preserve">BoM C21: unit_gbp x qty == line_gbp</t>
  </si>
  <si>
    <t xml:space="preserve">BoM C22: unit_gbp x qty == line_gbp</t>
  </si>
  <si>
    <t xml:space="preserve">BoM C23: unit_gbp x qty == line_gbp</t>
  </si>
  <si>
    <t xml:space="preserve">Tool provenance — input → output traceability (USED / STALE / ORPHANED)</t>
  </si>
  <si>
    <t xml:space="preserve">BoM C24: unit_gbp x qty == line_gbp</t>
  </si>
  <si>
    <t xml:space="preserve">BoM C25: unit_gbp x qty == line_gbp</t>
  </si>
  <si>
    <t xml:space="preserve">Tool</t>
  </si>
  <si>
    <t xml:space="preserve">Output field</t>
  </si>
  <si>
    <t xml:space="preserve">Input — from</t>
  </si>
  <si>
    <t xml:space="preserve">→ Consumed by</t>
  </si>
  <si>
    <t xml:space="preserve">BoM C26: unit_gbp x qty == line_gbp</t>
  </si>
  <si>
    <t xml:space="preserve">arc-flash:ieee-1584</t>
  </si>
  <si>
    <t xml:space="preserve">incident_energy_cal_cm2</t>
  </si>
  <si>
    <t xml:space="preserve">cal/cm2</t>
  </si>
  <si>
    <t xml:space="preserve">inputs from: brief</t>
  </si>
  <si>
    <t xml:space="preserve">incident_energy_cal_cm2 = 0.741</t>
  </si>
  <si>
    <t xml:space="preserve">USED</t>
  </si>
  <si>
    <t xml:space="preserve">BoM C27: unit_gbp x qty == line_gbp</t>
  </si>
  <si>
    <t xml:space="preserve">control-systems:pid-tuning</t>
  </si>
  <si>
    <t xml:space="preserve">kp</t>
  </si>
  <si>
    <t xml:space="preserve">ph_control_kp = 0.296464</t>
  </si>
  <si>
    <t xml:space="preserve">BoM C28: unit_gbp x qty == line_gbp</t>
  </si>
  <si>
    <t xml:space="preserve">electrical:cable-sizing</t>
  </si>
  <si>
    <t xml:space="preserve">main_feeder_cable_csa_mm2</t>
  </si>
  <si>
    <t xml:space="preserve">mm2</t>
  </si>
  <si>
    <t xml:space="preserve">inputs from: electrical:transformer-sizing + brief</t>
  </si>
  <si>
    <t xml:space="preserve">main_feeder_cable_csa_mm2 = 25</t>
  </si>
  <si>
    <t xml:space="preserve">BoM C29: unit_gbp x qty == line_gbp</t>
  </si>
  <si>
    <t xml:space="preserve">cable_voltdrop_pct</t>
  </si>
  <si>
    <t xml:space="preserve">cable_voltdrop_pct = 2.03</t>
  </si>
  <si>
    <t xml:space="preserve">BoM C30: unit_gbp x qty == line_gbp</t>
  </si>
  <si>
    <t xml:space="preserve">electrical:transformer-sizing</t>
  </si>
  <si>
    <t xml:space="preserve">transformer_kva</t>
  </si>
  <si>
    <t xml:space="preserve">transformer_kva = 75</t>
  </si>
  <si>
    <t xml:space="preserve">BoM C31: unit_gbp x qty == line_gbp</t>
  </si>
  <si>
    <t xml:space="preserve">transformer_secondary_current_a</t>
  </si>
  <si>
    <t xml:space="preserve">transformer_secondary_current_a = 108.25</t>
  </si>
  <si>
    <t xml:space="preserve">BoM C32: unit_gbp x qty == line_gbp</t>
  </si>
  <si>
    <t xml:space="preserve">first-principles:disinfection</t>
  </si>
  <si>
    <t xml:space="preserve">uv_disinfection_throughput_m3_h</t>
  </si>
  <si>
    <t xml:space="preserve">medium-pressure UV-C reactor sized to the peak recirculated flow (= irrigation demand 90 m³/h) for Legionella control at ≈40 mJ/cm²</t>
  </si>
  <si>
    <t xml:space="preserve">uv_disinfection_throughput_m3_h = 90</t>
  </si>
  <si>
    <t xml:space="preserve">BoM C33: unit_gbp x qty == line_gbp</t>
  </si>
  <si>
    <t xml:space="preserve">uv_disinfection_power_kw</t>
  </si>
  <si>
    <t xml:space="preserve">UV-C lamp electrical draw ≈ 0.045 kW per m³/h at the Legionella dose (90 m³/h × 0.045)</t>
  </si>
  <si>
    <t xml:space="preserve">uv_disinfection_power_kw = 4.1</t>
  </si>
  <si>
    <t xml:space="preserve">BoM C34: unit_gbp x qty == line_gbp</t>
  </si>
  <si>
    <t xml:space="preserve">uv_disinfection_count</t>
  </si>
  <si>
    <t xml:space="preserve">off</t>
  </si>
  <si>
    <t xml:space="preserve">one duty UV-C reactor on the common recirculation main (all stored/recirculated water passes it before distribution)</t>
  </si>
  <si>
    <t xml:space="preserve">uv_disinfection_count = 1</t>
  </si>
  <si>
    <t xml:space="preserve">BoM C35: unit_gbp x qty == line_gbp</t>
  </si>
  <si>
    <t xml:space="preserve">first-principles:electrical</t>
  </si>
  <si>
    <t xml:space="preserve">connected_electrical_load_kw</t>
  </si>
  <si>
    <t xml:space="preserve">sum of pump + dosing + control loads ≈ 53 kW — a pumping/dosing plant, NOT a megawatt facility (lighting + HVAC are out of scope)</t>
  </si>
  <si>
    <t xml:space="preserve">connected_electrical_load_kw = 53</t>
  </si>
  <si>
    <t xml:space="preserve">BoM C36: unit_gbp x qty == line_gbp</t>
  </si>
  <si>
    <t xml:space="preserve">first-principles:process</t>
  </si>
  <si>
    <t xml:space="preserve">irrigation_demand_m3_h</t>
  </si>
  <si>
    <t xml:space="preserve">peak irrigation demand = 45 m³/h per department × 2 departments; lock-gate HARD slot (exit 22)</t>
  </si>
  <si>
    <t xml:space="preserve">irrigation_demand_m3_h = 90</t>
  </si>
  <si>
    <t xml:space="preserve">BoM C37: unit_gbp x qty == line_gbp</t>
  </si>
  <si>
    <t xml:space="preserve">water_storage_capacity_m3</t>
  </si>
  <si>
    <t xml:space="preserve">m³</t>
  </si>
  <si>
    <t xml:space="preserve">total water storage = 3 galvanised tanks (1 fresh + 2 drain) × 40 m³ = 120 m³</t>
  </si>
  <si>
    <t xml:space="preserve">water_storage_capacity_m3 = 120</t>
  </si>
  <si>
    <t xml:space="preserve">BoM C38: unit_gbp x qty == line_gbp</t>
  </si>
  <si>
    <t xml:space="preserve">softener_vessel_volume_each_m3</t>
  </si>
  <si>
    <t xml:space="preserve">glass-fibre softener vessel (350 L resin each, 14 m³/h duplex)</t>
  </si>
  <si>
    <t xml:space="preserve">softener_vessel_volume_each_m3 = 1.5</t>
  </si>
  <si>
    <t xml:space="preserve">BoM C39: unit_gbp x qty == line_gbp</t>
  </si>
  <si>
    <t xml:space="preserve">fertigation_dosing_capacity_m3_per_hr</t>
  </si>
  <si>
    <t xml:space="preserve">total fertigation dosing capacity = 2 units × 45 m³/h = 90 m³/h</t>
  </si>
  <si>
    <t xml:space="preserve">fertigation_dosing_capacity_m3_per_hr = 90</t>
  </si>
  <si>
    <t xml:space="preserve">BoM C40: unit_gbp x qty == line_gbp</t>
  </si>
  <si>
    <t xml:space="preserve">total_supply_demand_kw</t>
  </si>
  <si>
    <t xml:space="preserve">total connected electrical demand of the water plant</t>
  </si>
  <si>
    <t xml:space="preserve">total_supply_demand_kw = 53</t>
  </si>
  <si>
    <t xml:space="preserve">BoM C41: unit_gbp x qty == line_gbp</t>
  </si>
  <si>
    <t xml:space="preserve">main_incomer_breaker_a</t>
  </si>
  <si>
    <t xml:space="preserve">main incomer sized from the connected electrical load 53 kW: I = P·1000/(√3·400·0.9)·1.25 = 106 A → next standard 125 A ACB frame</t>
  </si>
  <si>
    <t xml:space="preserve">main_incomer_breaker_a = 106</t>
  </si>
  <si>
    <t xml:space="preserve">BoM C42: unit_gbp x qty == line_gbp</t>
  </si>
  <si>
    <t xml:space="preserve">main_incomer_breaker_frame_a</t>
  </si>
  <si>
    <t xml:space="preserve">main_incomer_breaker_frame_a = 125</t>
  </si>
  <si>
    <t xml:space="preserve">BoM C43: unit_gbp x qty == line_gbp</t>
  </si>
  <si>
    <t xml:space="preserve">first-principles:solids</t>
  </si>
  <si>
    <t xml:space="preserve">gac_filter_vessel_volume_m3</t>
  </si>
  <si>
    <t xml:space="preserve">granular-activated-carbon filter vessel (1 × 42-inch tank, 14.5 m³/h)</t>
  </si>
  <si>
    <t xml:space="preserve">gac_filter_vessel_volume_m3 = 1.8</t>
  </si>
  <si>
    <t xml:space="preserve">BoM C44: unit_gbp x qty == line_gbp</t>
  </si>
  <si>
    <t xml:space="preserve">gac-filter:liquid-phase-sizing</t>
  </si>
  <si>
    <t xml:space="preserve">gac_vessel_diameter_m</t>
  </si>
  <si>
    <t xml:space="preserve">m</t>
  </si>
  <si>
    <t xml:space="preserve">gac_vessel_diameter_m = 1.35875</t>
  </si>
  <si>
    <t xml:space="preserve">BoM C45: unit_gbp x qty == line_gbp</t>
  </si>
  <si>
    <t xml:space="preserve">ion-exchange:softener-sizing</t>
  </si>
  <si>
    <t xml:space="preserve">softener_salt_consumption_max_kg_per_regen</t>
  </si>
  <si>
    <t xml:space="preserve">kg</t>
  </si>
  <si>
    <t xml:space="preserve">softener_salt_consumption_max_kg_per_regen = 46.1993</t>
  </si>
  <si>
    <t xml:space="preserve">BoM C46: unit_gbp x qty == line_gbp</t>
  </si>
  <si>
    <t xml:space="preserve">irrigation:ebb-flow-demand</t>
  </si>
  <si>
    <t xml:space="preserve">drain_collection_sump_volume_each_m3</t>
  </si>
  <si>
    <t xml:space="preserve">drain_collection_sump_volume_each_m3 = 5</t>
  </si>
  <si>
    <t xml:space="preserve">BoM C47: unit_gbp x qty == line_gbp</t>
  </si>
  <si>
    <t xml:space="preserve">irrigation:pump-sizing</t>
  </si>
  <si>
    <t xml:space="preserve">motor_power_kw</t>
  </si>
  <si>
    <t xml:space="preserve">inputs from: irrigation:ebb-flow-demand + brief</t>
  </si>
  <si>
    <t xml:space="preserve">irrigation_pump_motor_kw = 9.653</t>
  </si>
  <si>
    <t xml:space="preserve">BoM C48: unit_gbp x qty == line_gbp</t>
  </si>
  <si>
    <t xml:space="preserve">pump_flow_m3_h</t>
  </si>
  <si>
    <t xml:space="preserve">irrigation_pump_flow_m3_h = 90</t>
  </si>
  <si>
    <t xml:space="preserve">BoM C49: unit_gbp x qty == line_gbp</t>
  </si>
  <si>
    <t xml:space="preserve">mass-aggregator:envelope-check</t>
  </si>
  <si>
    <t xml:space="preserve">total_system_mass_kg</t>
  </si>
  <si>
    <t xml:space="preserve">inputs from: irrigation:pump-sizing, pressure-vessel:design + brief</t>
  </si>
  <si>
    <t xml:space="preserve">total_system_mass_kg = 1500.8</t>
  </si>
  <si>
    <t xml:space="preserve">BoM C50: unit_gbp x qty == line_gbp</t>
  </si>
  <si>
    <t xml:space="preserve">mechanical-filtration:cloth-screen</t>
  </si>
  <si>
    <t xml:space="preserve">cloth_filter_area_m2</t>
  </si>
  <si>
    <t xml:space="preserve">m2</t>
  </si>
  <si>
    <t xml:space="preserve">cloth_filter_area_m2 = 3.46572</t>
  </si>
  <si>
    <t xml:space="preserve">BoM C51: unit_gbp x qty == line_gbp</t>
  </si>
  <si>
    <t xml:space="preserve">filter_hydraulic_loading_m_h</t>
  </si>
  <si>
    <t xml:space="preserve">m/h</t>
  </si>
  <si>
    <t xml:space="preserve">filter_hydraulic_loading_m_h = 23.0832</t>
  </si>
  <si>
    <t xml:space="preserve">BoM C52: unit_gbp x qty == line_gbp</t>
  </si>
  <si>
    <t xml:space="preserve">ph-titration:sizing</t>
  </si>
  <si>
    <t xml:space="preserve">acid_dose_rate_ml_min</t>
  </si>
  <si>
    <t xml:space="preserve">mL/min</t>
  </si>
  <si>
    <t xml:space="preserve">acid_dose_rate_ml_min = 640</t>
  </si>
  <si>
    <t xml:space="preserve">BoM C53: unit_gbp x qty == line_gbp</t>
  </si>
  <si>
    <t xml:space="preserve">pressure-vessel:design</t>
  </si>
  <si>
    <t xml:space="preserve">mass_kg</t>
  </si>
  <si>
    <t xml:space="preserve">inputs from: gac-filter:liquid-phase-sizing + brief</t>
  </si>
  <si>
    <t xml:space="preserve">gac_vessel_mass_kg = 600.811</t>
  </si>
  <si>
    <t xml:space="preserve">BoM C54: unit_gbp x qty == line_gbp</t>
  </si>
  <si>
    <t xml:space="preserve">softener_vessel_mass_kg = 556.127</t>
  </si>
  <si>
    <t xml:space="preserve">BoM C55: unit_gbp x qty == line_gbp</t>
  </si>
  <si>
    <t xml:space="preserve">process:pump-sizing</t>
  </si>
  <si>
    <t xml:space="preserve">fertigation_dosing_pump_power_kw = 7.5</t>
  </si>
  <si>
    <t xml:space="preserve">BoM C56: unit_gbp x qty == line_gbp</t>
  </si>
  <si>
    <t xml:space="preserve">drain_transfer_pump_power_kw = 1.923</t>
  </si>
  <si>
    <t xml:space="preserve">BoM C57: unit_gbp x qty == line_gbp</t>
  </si>
  <si>
    <t xml:space="preserve">water-storage:buffer-sizing</t>
  </si>
  <si>
    <t xml:space="preserve">fresh_water_storage_capacity_m3</t>
  </si>
  <si>
    <t xml:space="preserve">inputs from: irrigation:ebb-flow-demand, water-treatment-ro:sizing + brief</t>
  </si>
  <si>
    <t xml:space="preserve">fresh_water_storage_capacity_m3 = 40</t>
  </si>
  <si>
    <t xml:space="preserve">BoM C58: unit_gbp x qty == line_gbp</t>
  </si>
  <si>
    <t xml:space="preserve">drain_water_tank_volume_each_m3</t>
  </si>
  <si>
    <t xml:space="preserve">drain_water_tank_volume_each_m3 = 40</t>
  </si>
  <si>
    <t xml:space="preserve">BoM C59: unit_gbp x qty == line_gbp</t>
  </si>
  <si>
    <t xml:space="preserve">total_water_storage_volume_m3</t>
  </si>
  <si>
    <t xml:space="preserve">total_water_storage_volume_m3 = 261.6</t>
  </si>
  <si>
    <t xml:space="preserve">BoM C60: unit_gbp x qty == line_gbp</t>
  </si>
  <si>
    <t xml:space="preserve">water-treatment-ro:sizing</t>
  </si>
  <si>
    <t xml:space="preserve">ro_membrane_area_m2</t>
  </si>
  <si>
    <t xml:space="preserve">ro_membrane_area_m2 = 363.6</t>
  </si>
  <si>
    <t xml:space="preserve">BoM C61: unit_gbp x qty == line_gbp</t>
  </si>
  <si>
    <t xml:space="preserve">permeate_flow_m3_h</t>
  </si>
  <si>
    <t xml:space="preserve">ro_permeate_production_m3_per_hr = 8</t>
  </si>
  <si>
    <t xml:space="preserve">BoM C62: unit_gbp x qty == line_gbp</t>
  </si>
  <si>
    <t xml:space="preserve">estimated_capex_gbp</t>
  </si>
  <si>
    <t xml:space="preserve">estimated_capex_gbp = 115727</t>
  </si>
  <si>
    <t xml:space="preserve">BoM C63: unit_gbp x qty == line_gbp</t>
  </si>
  <si>
    <t xml:space="preserve">BoM C64: unit_gbp x qty == line_gbp</t>
  </si>
  <si>
    <t xml:space="preserve">BoM C65: unit_gbp x qty == line_gbp</t>
  </si>
  <si>
    <t xml:space="preserve">BoM C66: unit_gbp x qty == line_gbp</t>
  </si>
  <si>
    <t xml:space="preserve">BoM C67: unit_gbp x qty == line_gbp</t>
  </si>
  <si>
    <t xml:space="preserve">BoM C68: unit_gbp x qty == line_gbp</t>
  </si>
  <si>
    <t xml:space="preserve">BoM C69: unit_gbp x qty == line_gbp</t>
  </si>
  <si>
    <t xml:space="preserve">BoM C70: unit_gbp x qty == line_gbp</t>
  </si>
  <si>
    <t xml:space="preserve">BoM C71: unit_gbp x qty == line_gbp</t>
  </si>
  <si>
    <t xml:space="preserve">BoM C72: unit_gbp x qty == line_gbp</t>
  </si>
  <si>
    <t xml:space="preserve">BoM C73: unit_gbp x qty == line_gbp</t>
  </si>
  <si>
    <t xml:space="preserve">BoM C74: unit_gbp x qty == line_gbp</t>
  </si>
  <si>
    <t xml:space="preserve">BoM X-151: unit_gbp x qty == line_gbp</t>
  </si>
  <si>
    <t xml:space="preserve">BoM X-152: unit_gbp x qty == line_gbp</t>
  </si>
  <si>
    <t xml:space="preserve">BoM X-153: unit_gbp x qty == line_gbp</t>
  </si>
  <si>
    <t xml:space="preserve">BoM X-154: unit_gbp x qty == line_gbp</t>
  </si>
  <si>
    <t xml:space="preserve">BoM X-155: unit_gbp x qty == line_gbp</t>
  </si>
  <si>
    <t xml:space="preserve">BoM X-156: unit_gbp x qty == line_gbp</t>
  </si>
  <si>
    <t xml:space="preserve">BoM X-157: unit_gbp x qty == line_gbp</t>
  </si>
  <si>
    <t xml:space="preserve">BoM X-158: unit_gbp x qty == line_gbp</t>
  </si>
  <si>
    <t xml:space="preserve">BoM X-159: unit_gbp x qty == line_gbp</t>
  </si>
  <si>
    <t xml:space="preserve">BoM V-112: unit_gbp x qty == line_gbp</t>
  </si>
  <si>
    <t xml:space="preserve">BoM V-113: unit_gbp x qty == line_gbp</t>
  </si>
  <si>
    <t xml:space="preserve">BoM V-102: Sigma sub-component_gbp == line_gbp</t>
  </si>
  <si>
    <t xml:space="preserve">BoM V-106: Sigma sub-component_gbp == line_gbp</t>
  </si>
  <si>
    <t xml:space="preserve">BoM P-106: Sigma sub-component_gbp == line_gbp</t>
  </si>
  <si>
    <t xml:space="preserve">BoM TK-103: Sigma sub-component_gbp == line_gbp</t>
  </si>
  <si>
    <t xml:space="preserve">BoM P-102: Sigma sub-component_gbp == line_gbp</t>
  </si>
  <si>
    <t xml:space="preserve">BoM TK-114: Sigma sub-component_gbp == line_gbp</t>
  </si>
  <si>
    <t xml:space="preserve">BoM P-104: Sigma sub-component_gbp == line_gbp</t>
  </si>
  <si>
    <t xml:space="preserve">BoM V-103: Sigma sub-component_gbp == line_gbp</t>
  </si>
  <si>
    <t xml:space="preserve">BoM V-105: Sigma sub-component_gbp == line_gbp</t>
  </si>
  <si>
    <t xml:space="preserve">BoM P-103: Sigma sub-component_gbp == line_gbp</t>
  </si>
  <si>
    <t xml:space="preserve">BoM Z-101: Sigma sub-component_gbp == line_gbp</t>
  </si>
  <si>
    <t xml:space="preserve">BoM P-101: Sigma sub-component_gbp == line_gbp</t>
  </si>
  <si>
    <t xml:space="preserve">BoM V-101: Sigma sub-component_gbp == line_gbp</t>
  </si>
  <si>
    <t xml:space="preserve">BoM TK-108: Sigma sub-component_gbp == line_gbp</t>
  </si>
  <si>
    <t xml:space="preserve">BoM TK-106: Sigma sub-component_gbp == line_gbp</t>
  </si>
  <si>
    <t xml:space="preserve">BoM TK-102: Sigma sub-component_gbp == line_gbp</t>
  </si>
  <si>
    <t xml:space="preserve">BoM TK-101: Sigma sub-component_gbp == line_gbp</t>
  </si>
  <si>
    <t xml:space="preserve">Connection trace — which part connects to what</t>
  </si>
  <si>
    <t xml:space="preserve">The ledger authors every connection. INPUTS / OUTPUTS are LIVE cell-references to the connected part's own row (col A): select a cell and use Formulas ▸ Trace Precedents / Trace Dependents to draw the arrows, or click through to navigate. Each part also carries its Tag. Bidirectionally consistent. Status is a LIVE formula: OK only when every endpoint resolves to a real row/boundary AND the ledger's own completeness check is clean (columns G/H, muted).</t>
  </si>
  <si>
    <t xml:space="preserve">94 authored connections   ·   completeness: 0 part(s) missing a required tie   ·   referential integrity: 0 broken reference(s)</t>
  </si>
  <si>
    <t xml:space="preserve">Part</t>
  </si>
  <si>
    <t xml:space="preserve">Inputs ← (from)</t>
  </si>
  <si>
    <t xml:space="preserve">Outputs → (to)</t>
  </si>
  <si>
    <t xml:space="preserve">Services</t>
  </si>
  <si>
    <t xml:space="preserve">Audit: unresolved endpoints (build-computed)</t>
  </si>
  <si>
    <t xml:space="preserve">Audit: missing-tie evidence (build-computed)</t>
  </si>
  <si>
    <t xml:space="preserve">power</t>
  </si>
  <si>
    <t xml:space="preserve">signal</t>
  </si>
  <si>
    <t xml:space="preserve">TK-101</t>
  </si>
  <si>
    <t xml:space="preserve">water</t>
  </si>
  <si>
    <t xml:space="preserve">TK-102</t>
  </si>
  <si>
    <t xml:space="preserve">power, water</t>
  </si>
  <si>
    <t xml:space="preserve">power, signal</t>
  </si>
  <si>
    <t xml:space="preserve">Effluent / disposal — battery limit</t>
  </si>
  <si>
    <t xml:space="preserve">I-105</t>
  </si>
  <si>
    <t xml:space="preserve">Cabinets — housed devices + connector proof</t>
  </si>
  <si>
    <t xml:space="preserve">6 cabinet(s)   ·   5 housed device(s)   ·   1/6 cabinets fully connected   ·   ALL CONNECTORS PROVEN: NO — see ✗ rows</t>
  </si>
  <si>
    <t xml:space="preserve">SCADA / Plant Control System  [CONTROL CABINET · EP-103]   — 5 device(s) housed   ·   cabinet feeds: 12 in / 0 out   ·   ✗ INCOMPLETE</t>
  </si>
  <si>
    <t xml:space="preserve">Housed device</t>
  </si>
  <si>
    <t xml:space="preserve">Function</t>
  </si>
  <si>
    <t xml:space="preserve">Connectors</t>
  </si>
  <si>
    <t xml:space="preserve">Audit: n in</t>
  </si>
  <si>
    <t xml:space="preserve">Audit: n out</t>
  </si>
  <si>
    <t xml:space="preserve">Circuit Breaker</t>
  </si>
  <si>
    <t xml:space="preserve">X-110</t>
  </si>
  <si>
    <t xml:space="preserve">distributes electrical power</t>
  </si>
  <si>
    <t xml:space="preserve">INV-2</t>
  </si>
  <si>
    <t xml:space="preserve">computes / commands</t>
  </si>
  <si>
    <t xml:space="preserve">X-124</t>
  </si>
  <si>
    <t xml:space="preserve">X-132</t>
  </si>
  <si>
    <t xml:space="preserve">X-133</t>
  </si>
  <si>
    <t xml:space="preserve">Digital Control Panel  [CONTROL CABINET · I-103]   — 0 device(s) housed   ·   cabinet feeds: 6 in / 0 out   ·   ✗ INCOMPLETE</t>
  </si>
  <si>
    <t xml:space="preserve">— no discrete devices itemised (cabinet feeds the loads directly) —</t>
  </si>
  <si>
    <t xml:space="preserve">Electrical Control Panel  [CONTROL CABINET · X-105]   — 0 device(s) housed   ·   cabinet feeds: 1 in / 1 out   ·   ✓ ALL CONNECTED</t>
  </si>
  <si>
    <t xml:space="preserve">PLC Controller  [CONTROL CABINET · X-115]   — 0 device(s) housed   ·   cabinet feeds: 0 in / 0 out   ·   ✗ INCOMPLETE</t>
  </si>
  <si>
    <t xml:space="preserve">HMI Touchscreen  [CONTROL CABINET · X-121]   — 0 device(s) housed   ·   cabinet feeds: 0 in / 0 out   ·   ✗ INCOMPLETE</t>
  </si>
  <si>
    <t xml:space="preserve">Siemens S7 1200 PLC  [CONTROL CABINET · X-122]   — 0 device(s) housed   ·   cabinet feeds: 0 in / 0 out   ·   ✗ INCOMPLETE</t>
  </si>
  <si>
    <t xml:space="preserve">Contract inputs — traceability (where-from / where-to)</t>
  </si>
  <si>
    <t xml:space="preserve">Where each INPUT came FROM (its source / the quantities it was computed from) and what it FEEDS into downstream. Apart from the brief, every value traces back to the briefing document.  —  109/111 inputs (98%) trace to the brief.</t>
  </si>
  <si>
    <t xml:space="preserve">Input</t>
  </si>
  <si>
    <t xml:space="preserve">Family</t>
  </si>
  <si>
    <t xml:space="preserve">Where-from (source / inputs)</t>
  </si>
  <si>
    <t xml:space="preserve">Source detail</t>
  </si>
  <si>
    <t xml:space="preserve">Used by (where-to)</t>
  </si>
  <si>
    <t xml:space="preserve">ro_permeate_capacity_m3_h</t>
  </si>
  <si>
    <t xml:space="preserve">flow_rate</t>
  </si>
  <si>
    <t xml:space="preserve">brief</t>
  </si>
  <si>
    <t xml:space="preserve">← brief (stated requirement)</t>
  </si>
  <si>
    <t xml:space="preserve">reverse-osmosis permeate capacity (an industrial RO skid 8 m³/h); lock-gate HARD slot (exit 22)</t>
  </si>
  <si>
    <t xml:space="preserve">permeate_outlet_line_flow_m3_h, permeate_manifold_line_flow_m3_h</t>
  </si>
  <si>
    <t xml:space="preserve">calculator</t>
  </si>
  <si>
    <t xml:space="preserve">← calculated (inputs in Source detail — not yet machine-linked)</t>
  </si>
  <si>
    <t xml:space="preserve">uv_disinfection_throughput_m3_h, irrigation_pump_motor_kw, irrigation_pump_flow_m3_h</t>
  </si>
  <si>
    <t xml:space="preserve">← irrigation_demand_m3_h ✓ LIVE formula (Value is computed in-cell)</t>
  </si>
  <si>
    <t xml:space="preserve">uv_disinfection_power_kw  → part: Uv Disinfection</t>
  </si>
  <si>
    <t xml:space="preserve">← uv_disinfection_throughput_m3_h ✓ LIVE formula (Value is computed in-cell)</t>
  </si>
  <si>
    <t xml:space="preserve">→ part: Uv Disinfection</t>
  </si>
  <si>
    <t xml:space="preserve">← measured: derived</t>
  </si>
  <si>
    <t xml:space="preserve">hand_watering_discharge_pressure_bar</t>
  </si>
  <si>
    <t xml:space="preserve">bar</t>
  </si>
  <si>
    <t xml:space="preserve">pressure</t>
  </si>
  <si>
    <t xml:space="preserve">hand-watering ring-main delivery pressure (brief-stated 3 bar; sets the hand-watering pump head)</t>
  </si>
  <si>
    <t xml:space="preserve">→ informs calculations / design rules (see Source detail)</t>
  </si>
  <si>
    <t xml:space="preserve">volume</t>
  </si>
  <si>
    <t xml:space="preserve">← tool: water-storage:buffer-sizing</t>
  </si>
  <si>
    <t xml:space="preserve">brief-pinned 40 (held — water-storage:buffer-sizing suggested 196.8: a 5× divergence, rejected as a gross override of an explicit brief spec)</t>
  </si>
  <si>
    <t xml:space="preserve">← fresh_water_tank_volume_each_m3, fresh_water_tank_count, drain_water_tank_count ✓ LIVE formula (Value is computed in-cell)</t>
  </si>
  <si>
    <t xml:space="preserve">water_storage_delivered_m3</t>
  </si>
  <si>
    <t xml:space="preserve">reverse_osmosis_skid_volume_m3</t>
  </si>
  <si>
    <t xml:space="preserve">reverse-osmosis packaged skid envelope (3.8 m × 1.4 m × 2.0 m, an industrial RO skid, 8 m³/h @ 75% recovery)</t>
  </si>
  <si>
    <t xml:space="preserve">→ part: Reverse Osmosis Skid</t>
  </si>
  <si>
    <t xml:space="preserve">reverse_osmosis_skid_count</t>
  </si>
  <si>
    <t xml:space="preserve">dimensionless</t>
  </si>
  <si>
    <t xml:space="preserve">one RO purification skid</t>
  </si>
  <si>
    <t xml:space="preserve">ro_high_pressure_pump_throughput_m3_h</t>
  </si>
  <si>
    <t xml:space="preserve">RO frequency-controlled high-pressure pump (10.6 bar working pressure, ~10.7 m³/h feed)</t>
  </si>
  <si>
    <t xml:space="preserve">pressure_vessels_line_flow_m3_h  → part: Ro High Pressure Pump</t>
  </si>
  <si>
    <t xml:space="preserve">ro_high_pressure_pump_power_kw</t>
  </si>
  <si>
    <t xml:space="preserve">RO high-pressure pump motor (frequency-controlled; 4.2 kW consumption within the RO skid 5.5 kW installed)</t>
  </si>
  <si>
    <t xml:space="preserve">→ part: Ro High Pressure Pump</t>
  </si>
  <si>
    <t xml:space="preserve">ro_high_pressure_pump_count</t>
  </si>
  <si>
    <t xml:space="preserve">one frequency-controlled RO high-pressure pump</t>
  </si>
  <si>
    <t xml:space="preserve">← gac_softener_throughput_m3_h</t>
  </si>
  <si>
    <t xml:space="preserve">→ part: Softener Vessel</t>
  </si>
  <si>
    <t xml:space="preserve">softener_vessel_count</t>
  </si>
  <si>
    <t xml:space="preserve">two duplex softener vessels</t>
  </si>
  <si>
    <t xml:space="preserve">fresh_water_tank_volume_each_m3</t>
  </si>
  <si>
    <t xml:space="preserve">fresh-water galvanised storage tank (3.64 m dia × 3.88 m, 40 m³)</t>
  </si>
  <si>
    <t xml:space="preserve">water_storage_capacity_m3  → part: Fresh Water Tank</t>
  </si>
  <si>
    <t xml:space="preserve">fresh_water_tank_count</t>
  </si>
  <si>
    <t xml:space="preserve">one fresh-water storage tank</t>
  </si>
  <si>
    <t xml:space="preserve">brief-pinned 40 (held — water-storage:buffer-sizing suggested 64.8: an explicitly-dimensioned brief storage vessel is held EXACTLY (water-storage:buffer-sizing's 64.8 is a generic buffer-model refinement, rejected))</t>
  </si>
  <si>
    <t xml:space="preserve">→ part: Drain Water Tank</t>
  </si>
  <si>
    <t xml:space="preserve">drain_water_tank_count</t>
  </si>
  <si>
    <t xml:space="preserve">two drain-water storage tanks</t>
  </si>
  <si>
    <t xml:space="preserve">water_storage_capacity_m3  → part: Drain Water Tank</t>
  </si>
  <si>
    <t xml:space="preserve">fertigation_dosing_pump_throughput_m3_h</t>
  </si>
  <si>
    <t xml:space="preserve">A/B fertigation circulation pump (Lowara e-SHE 50-160/75, 45 m³/h @ 3.5 bar)</t>
  </si>
  <si>
    <t xml:space="preserve">fertigation_dosing_capacity_m3_per_hr, fertigation_dosing_total_m3_h  → part: Fertigation Dosing Pump, Fertigation dosing / injection pump — vertical multistage, 30 m3/h @ 53.1 m, 7.5</t>
  </si>
  <si>
    <t xml:space="preserve">fertigation_dosing_pump_power_kw</t>
  </si>
  <si>
    <t xml:space="preserve">← tool: process:pump-sizing</t>
  </si>
  <si>
    <t xml:space="preserve">brief-pinned 7.5 (held — process:pump-sizing suggested 3.846: 3.846 &lt; the brief 7.5 power rating — a tool must not under-size a must-meet brief spec)</t>
  </si>
  <si>
    <t xml:space="preserve">connected_electrical_load_kw  → part: Fertigation Dosing Pump, Fertigation dosing / injection pump — vertical multistage, 30 m3/h @ 53.1 m, 7.5</t>
  </si>
  <si>
    <t xml:space="preserve">fertigation_dosing_pump_count</t>
  </si>
  <si>
    <t xml:space="preserve">2 A/B fertigation dosing units (one per department)</t>
  </si>
  <si>
    <t xml:space="preserve">fertigation_dosing_capacity_m3_per_hr, connected_electrical_load_kw  → part: Fertigation Dosing Pump, Fertigation dosing / injection pump — vertical multistage, 30 m3/h @ 53.1 m, 7.5</t>
  </si>
  <si>
    <t xml:space="preserve">← fertigation_dosing_pump_throughput_m3_h, fertigation_dosing_pump_count ✓ LIVE formula (Value is computed in-cell)</t>
  </si>
  <si>
    <t xml:space="preserve">→ part: Fertigation Dosing Pump, Fertigation dosing / injection pump — vertical multistage, 30 m3/h @ 53.1 m, 7.5</t>
  </si>
  <si>
    <t xml:space="preserve">acid_dosing_pump_throughput_m3_h</t>
  </si>
  <si>
    <t xml:space="preserve">acid metering pump (Iwaki EWN-C21VCER, 100 L barrel, ~40 L/h)</t>
  </si>
  <si>
    <t xml:space="preserve">acid_dosing_pump_power_kw</t>
  </si>
  <si>
    <t xml:space="preserve">acid metering pump motor (frequency-controlled)</t>
  </si>
  <si>
    <t xml:space="preserve">acid_dosing_pump_count</t>
  </si>
  <si>
    <t xml:space="preserve">2 acid dosing pumps (one per A/B fertigation unit)</t>
  </si>
  <si>
    <t xml:space="preserve">chemical_dosing_pump_throughput_m3_h</t>
  </si>
  <si>
    <t xml:space="preserve">chemical/nutrient metering pump (Iwaki EWN-C21VHERA, 100 L barrel, ~40 L/h)</t>
  </si>
  <si>
    <t xml:space="preserve">chemical_dosing_pump_power_kw</t>
  </si>
  <si>
    <t xml:space="preserve">chemical metering pump motor (frequency-controlled)</t>
  </si>
  <si>
    <t xml:space="preserve">chemical_dosing_pump_count</t>
  </si>
  <si>
    <t xml:space="preserve">2 chemical/nutrient dosing pumps (one per A/B fertigation unit)</t>
  </si>
  <si>
    <t xml:space="preserve">nutrient_tank_volume_each_m3</t>
  </si>
  <si>
    <t xml:space="preserve">nutrient stock tank (1,000 L polyester, 4 × A + 4 × B)</t>
  </si>
  <si>
    <t xml:space="preserve">→ part: Nutrient Tank</t>
  </si>
  <si>
    <t xml:space="preserve">nutrient_tank_count</t>
  </si>
  <si>
    <t xml:space="preserve">eight 1,000 L nutrient stock tanks</t>
  </si>
  <si>
    <t xml:space="preserve">hand_watering_pump_throughput_m3_h</t>
  </si>
  <si>
    <t xml:space="preserve">hand-watering frequency-controlled pump (25 m³/h @ 3 bar)</t>
  </si>
  <si>
    <t xml:space="preserve">hand_watering_pump_motor_kw, hand_watering_ring_main_length_m, hand_watering_ring_main_dn_mm, hand_watering_riser_count  → part: Hand Watering Pump</t>
  </si>
  <si>
    <t xml:space="preserve">hand_watering_pump_count</t>
  </si>
  <si>
    <t xml:space="preserve">one hand-watering pump</t>
  </si>
  <si>
    <t xml:space="preserve">connected_electrical_load_kw  → part: Hand Watering Pump</t>
  </si>
  <si>
    <t xml:space="preserve">← tool: irrigation:ebb-flow-demand</t>
  </si>
  <si>
    <t xml:space="preserve">brief-pinned 5 (held — irrigation:ebb-flow-demand suggested 600: a 120× divergence, rejected as a gross override of an explicit brief spec)</t>
  </si>
  <si>
    <t xml:space="preserve">→ part: Drain Collection Sump</t>
  </si>
  <si>
    <t xml:space="preserve">drain_collection_sump_count</t>
  </si>
  <si>
    <t xml:space="preserve">2 drain pits (one per cultivation room)</t>
  </si>
  <si>
    <t xml:space="preserve">drain_transfer_pump_throughput_m3_h</t>
  </si>
  <si>
    <t xml:space="preserve">drain-pit submersible transfer pump (45 m³/h)</t>
  </si>
  <si>
    <t xml:space="preserve">drain_manifold_line_flow_m3_h, drain_collection_sump_line_flow_m3_h  → part: Drain Transfer Pump</t>
  </si>
  <si>
    <t xml:space="preserve">drain_transfer_pump_count</t>
  </si>
  <si>
    <t xml:space="preserve">2 submersible drain pumps</t>
  </si>
  <si>
    <t xml:space="preserve">connected_electrical_load_kw  → part: Drain Transfer Pump</t>
  </si>
  <si>
    <t xml:space="preserve">cloth_filter_throughput_m3_h</t>
  </si>
  <si>
    <t xml:space="preserve">drain-water cloth filter (80 m³/h) on HDPE tank, returns to drain tank</t>
  </si>
  <si>
    <t xml:space="preserve">→ part: Cloth Filter</t>
  </si>
  <si>
    <t xml:space="preserve">cloth_filter_count</t>
  </si>
  <si>
    <t xml:space="preserve">2 cloth-filter units</t>
  </si>
  <si>
    <t xml:space="preserve">cultivation_container_count</t>
  </si>
  <si>
    <t xml:space="preserve">6,000 ebb/flow cultivation containers (2 dept × 10 tunnels × 5 layers × 4 rows × 15) — the irrigation network sizing driver</t>
  </si>
  <si>
    <t xml:space="preserve">actuated_distribution_valve_count</t>
  </si>
  <si>
    <t xml:space="preserve">200 electrically-actuated 2.5-inch ebb/flow distribution valves (30 containers each)</t>
  </si>
  <si>
    <t xml:space="preserve">distribution_main_length_m, distribution_main_dn_mm, distribution_riser_length_m, distribution_riser_dn_mm, distribution_zone_lateral_length_m, distribution_zone_lateral_dn_mm, distribution_drain_riser_length_m, distribution_drain_riser_dn_mm, distribution_drain_collection_length_m, distribution_drain_collection_dn_mm, distribution_drain_main_length_m, distribution_drain_main_dn_mm, distribution_network_length_km, distribution_zone_kits, distribution_position_connections, distribution_drain_outlet_connections, distribution_manifold_count, distribution_manifold_throughput_m3_h</t>
  </si>
  <si>
    <t xml:space="preserve">distribution_delivery_groups</t>
  </si>
  <si>
    <t xml:space="preserve">2 delivery departments — each A/B fertigation unit feeds its own department main (DN125 mainline per department)</t>
  </si>
  <si>
    <t xml:space="preserve">distribution_branch_runs</t>
  </si>
  <si>
    <t xml:space="preserve">10 cultivation tunnels per department × 2 departments = 20 branch (tunnel) runs</t>
  </si>
  <si>
    <t xml:space="preserve">distribution_levels_per_branch</t>
  </si>
  <si>
    <t xml:space="preserve">5 cultivation layers per tunnel — one zone valve per layer per riser</t>
  </si>
  <si>
    <t xml:space="preserve">distribution_risers_per_branch</t>
  </si>
  <si>
    <t xml:space="preserve">two DN125 riser connections per cultivation tunnel (brief: "two riser connections per tunnel")</t>
  </si>
  <si>
    <t xml:space="preserve">distribution_positions_per_zone</t>
  </si>
  <si>
    <t xml:space="preserve">30 containers per actuated valve section (the flood-fill zone)</t>
  </si>
  <si>
    <t xml:space="preserve">distribution_zone_rows</t>
  </si>
  <si>
    <t xml:space="preserve">each valve section feeds two rows of containers ("30 containers (two rows of 15) via a DN75 distribution line")</t>
  </si>
  <si>
    <t xml:space="preserve">distribution_position_pitch_mm</t>
  </si>
  <si>
    <t xml:space="preserve">length</t>
  </si>
  <si>
    <t xml:space="preserve">cultivation container length 2760 mm (container 2760 × 1290 mm) — the along-row position pitch</t>
  </si>
  <si>
    <t xml:space="preserve">distribution_position_width_mm</t>
  </si>
  <si>
    <t xml:space="preserve">cultivation container width 1290 mm — sets the branch (tunnel) pitch across the rows</t>
  </si>
  <si>
    <t xml:space="preserve">distribution_zone_valve_dn_mm</t>
  </si>
  <si>
    <t xml:space="preserve">dimension</t>
  </si>
  <si>
    <t xml:space="preserve">2.5-inch electric zone valves → DN65 (the brief's stated valve bore)</t>
  </si>
  <si>
    <t xml:space="preserve">ro_recovery_percent</t>
  </si>
  <si>
    <t xml:space="preserve">RO recovery factor (75%)</t>
  </si>
  <si>
    <t xml:space="preserve">→ design output (feeds cost / financial / drawings)</t>
  </si>
  <si>
    <t xml:space="preserve">gac_softener_throughput_m3_h</t>
  </si>
  <si>
    <t xml:space="preserve">GAC / softener treatment throughput (~14.5 m³/h)</t>
  </si>
  <si>
    <t xml:space="preserve">gac_filter_vessel_volume_m3, softener_vessel_line_flow_m3_h  → part: Gac Softener</t>
  </si>
  <si>
    <t xml:space="preserve">← fertigation_dosing_pump_power_kw, fertigation_dosing_pump_count, hand_watering_pump_count, drain_transfer_pump_count</t>
  </si>
  <si>
    <t xml:space="preserve">total_supply_demand_kw, main_incomer_breaker_a</t>
  </si>
  <si>
    <t xml:space="preserve">building_out_of_scope</t>
  </si>
  <si>
    <t xml:space="preserve">the building, civils and cultivation rack framework are supplied by others — OUT of scope (no hall is synthesised around the water plant)</t>
  </si>
  <si>
    <t xml:space="preserve">convergence-report</t>
  </si>
  <si>
    <t xml:space="preserve">← connected_electrical_load_kw, total_electrical_demand_kw</t>
  </si>
  <si>
    <t xml:space="preserve">alias of connected_electrical_load_kw = 53 kW by construction (the tool-claimed plant load); the as-routed converged demand 54.699 kW (plant load + distribution parasitic, 3.2% off) RECONCILES within ±10% and is recorded here — the alias itself never moves</t>
  </si>
  <si>
    <t xml:space="preserve">total_supply_demand_kva</t>
  </si>
  <si>
    <t xml:space="preserve">area</t>
  </si>
  <si>
    <t xml:space="preserve">tool:arc-flash:ieee-1584</t>
  </si>
  <si>
    <t xml:space="preserve">← tool: arc-flash:ieee-1584</t>
  </si>
  <si>
    <t xml:space="preserve">computed by arc-flash:ieee-1584 (inputs from brief)</t>
  </si>
  <si>
    <t xml:space="preserve">ph_control_kp</t>
  </si>
  <si>
    <t xml:space="preserve">tool:control-systems:pid-tuning</t>
  </si>
  <si>
    <t xml:space="preserve">← tool: control-systems:pid-tuning</t>
  </si>
  <si>
    <t xml:space="preserve">computed by control-systems:pid-tuning (inputs from brief)</t>
  </si>
  <si>
    <t xml:space="preserve">tool:electrical:transformer-sizing</t>
  </si>
  <si>
    <t xml:space="preserve">← tool: electrical:transformer-sizing</t>
  </si>
  <si>
    <t xml:space="preserve">computed by electrical:transformer-sizing (inputs from brief)</t>
  </si>
  <si>
    <t xml:space="preserve">→ part: Transformer</t>
  </si>
  <si>
    <t xml:space="preserve">current</t>
  </si>
  <si>
    <t xml:space="preserve">tool:electrical:cable-sizing</t>
  </si>
  <si>
    <t xml:space="preserve">← tool: electrical:cable-sizing</t>
  </si>
  <si>
    <t xml:space="preserve">computed by electrical:cable-sizing (inputs from brief)</t>
  </si>
  <si>
    <t xml:space="preserve">→ part: Cable Glands, Cable Trays</t>
  </si>
  <si>
    <t xml:space="preserve">tool:gac-filter:liquid-phase-sizing</t>
  </si>
  <si>
    <t xml:space="preserve">← tool: gac-filter:liquid-phase-sizing</t>
  </si>
  <si>
    <t xml:space="preserve">computed by gac-filter:liquid-phase-sizing (inputs from brief)</t>
  </si>
  <si>
    <t xml:space="preserve">mass</t>
  </si>
  <si>
    <t xml:space="preserve">tool:ion-exchange:softener-sizing</t>
  </si>
  <si>
    <t xml:space="preserve">← tool: ion-exchange:softener-sizing</t>
  </si>
  <si>
    <t xml:space="preserve">computed by ion-exchange:softener-sizing (inputs from brief)</t>
  </si>
  <si>
    <t xml:space="preserve">irrigation_pump_motor_kw</t>
  </si>
  <si>
    <t xml:space="preserve">tool:irrigation:pump-sizing</t>
  </si>
  <si>
    <t xml:space="preserve">← tool: irrigation:pump-sizing</t>
  </si>
  <si>
    <t xml:space="preserve">computed by irrigation:pump-sizing from irrigation_demand_m3_h</t>
  </si>
  <si>
    <t xml:space="preserve">irrigation_pump_flow_m3_h</t>
  </si>
  <si>
    <t xml:space="preserve">volflow</t>
  </si>
  <si>
    <t xml:space="preserve">tool:mechanical-filtration:cloth-screen</t>
  </si>
  <si>
    <t xml:space="preserve">← tool: mechanical-filtration:cloth-screen</t>
  </si>
  <si>
    <t xml:space="preserve">computed by mechanical-filtration:cloth-screen (inputs from brief)</t>
  </si>
  <si>
    <t xml:space="preserve">velocity</t>
  </si>
  <si>
    <t xml:space="preserve">→ part: Fertigation dosing / injection pump — vertical multistage, 30 m3/h @ 53.1 m, 7.5</t>
  </si>
  <si>
    <t xml:space="preserve">tool:ph-titration:sizing</t>
  </si>
  <si>
    <t xml:space="preserve">← tool: ph-titration:sizing</t>
  </si>
  <si>
    <t xml:space="preserve">computed by ph-titration:sizing (inputs from brief)</t>
  </si>
  <si>
    <t xml:space="preserve">gac_vessel_mass_kg</t>
  </si>
  <si>
    <t xml:space="preserve">tool:pressure-vessel:design</t>
  </si>
  <si>
    <t xml:space="preserve">← tool: pressure-vessel:design</t>
  </si>
  <si>
    <t xml:space="preserve">computed by pressure-vessel:design (inputs from brief)</t>
  </si>
  <si>
    <t xml:space="preserve">tool:mass-aggregator:envelope-check</t>
  </si>
  <si>
    <t xml:space="preserve">← tool: mass-aggregator:envelope-check</t>
  </si>
  <si>
    <t xml:space="preserve">computed by mass-aggregator:envelope-check from irrigation_pump_motor_kw</t>
  </si>
  <si>
    <t xml:space="preserve">tool:water-treatment-ro:sizing</t>
  </si>
  <si>
    <t xml:space="preserve">← tool: water-treatment-ro:sizing</t>
  </si>
  <si>
    <t xml:space="preserve">computed by water-treatment-ro:sizing (inputs from brief)</t>
  </si>
  <si>
    <t xml:space="preserve">ro_permeate_production_m3_per_hr</t>
  </si>
  <si>
    <t xml:space="preserve">currency</t>
  </si>
  <si>
    <t xml:space="preserve">tool:water-storage:buffer-sizing</t>
  </si>
  <si>
    <t xml:space="preserve">computed by water-storage:buffer-sizing (inputs from brief)</t>
  </si>
  <si>
    <t xml:space="preserve">drain_transfer_pump_power_kw</t>
  </si>
  <si>
    <t xml:space="preserve">tool:process:pump-sizing</t>
  </si>
  <si>
    <t xml:space="preserve">computed by process:pump-sizing (inputs from brief)</t>
  </si>
  <si>
    <t xml:space="preserve">→ part: Drain Transfer Pump</t>
  </si>
  <si>
    <t xml:space="preserve">softener_vessel_mass_kg</t>
  </si>
  <si>
    <t xml:space="preserve">hand_watering_pump_motor_kw</t>
  </si>
  <si>
    <t xml:space="preserve">demand-coverage</t>
  </si>
  <si>
    <t xml:space="preserve">← hand_watering_pump_throughput_m3_h</t>
  </si>
  <si>
    <t xml:space="preserve">demand-coverage: hydraulic motor floor P = Q·ΔP/(36·η) @ ΔP = 2.5 bar, η = 0.62, from hand_watering_pump_throughput_m3_h = 25 m³/h (a sizing-tool value always wins when present)</t>
  </si>
  <si>
    <t xml:space="preserve">permeate_outlet_line_flow_m3_h</t>
  </si>
  <si>
    <t xml:space="preserve">← ro_permeate_capacity_m3_h</t>
  </si>
  <si>
    <t xml:space="preserve">demand-coverage: service-line duty for Permeate Outlet = ro_permeate_capacity_m3_h (8 m³/h) — the one delivered flow in this endpoint's distinctive-token family (the duty that serves/fills/drains it)</t>
  </si>
  <si>
    <t xml:space="preserve">drain_manifold_line_flow_m3_h</t>
  </si>
  <si>
    <t xml:space="preserve">← drain_transfer_pump_throughput_m3_h</t>
  </si>
  <si>
    <t xml:space="preserve">demand-coverage: service-line duty for Drain Manifold = drain_transfer_pump_throughput_m3_h (45 m³/h) — the one delivered flow in this endpoint's distinctive-token family (the duty that serves/fills/drains it)</t>
  </si>
  <si>
    <t xml:space="preserve">pressure_vessels_line_flow_m3_h</t>
  </si>
  <si>
    <t xml:space="preserve">← ro_high_pressure_pump_throughput_m3_h</t>
  </si>
  <si>
    <t xml:space="preserve">demand-coverage: service-line duty for Pressure Vessels = ro_high_pressure_pump_throughput_m3_h (11 m³/h) — the one delivered flow in this endpoint's distinctive-token family (the duty that serves/fills/drains it)</t>
  </si>
  <si>
    <t xml:space="preserve">permeate_manifold_line_flow_m3_h</t>
  </si>
  <si>
    <t xml:space="preserve">demand-coverage: service-line duty for Permeate Manifold = ro_permeate_capacity_m3_h (8 m³/h) — the one delivered flow in this endpoint's distinctive-token family (the duty that serves/fills/drains it)</t>
  </si>
  <si>
    <t xml:space="preserve">cleaning_tank_line_flow_m3_h</t>
  </si>
  <si>
    <t xml:space="preserve">← (cip one-charge rule)</t>
  </si>
  <si>
    <t xml:space="preserve">demand-coverage: CIP recirculation duty — one cleaning-solution charge (2 m³, the one-charge rule: ~15% of the plant hourly design flow bounded 0.5–2 m³) turned over in 30 min → 4 m³/h service-line flow for Cleaning Tank</t>
  </si>
  <si>
    <t xml:space="preserve">cip_tank_line_flow_m3_h</t>
  </si>
  <si>
    <t xml:space="preserve">demand-coverage: CIP recirculation duty — one cleaning-solution charge (2 m³, the one-charge rule: ~15% of the plant hourly design flow bounded 0.5–2 m³) turned over in 30 min → 4 m³/h service-line flow for Cip Tank</t>
  </si>
  <si>
    <t xml:space="preserve">volume_m3</t>
  </si>
  <si>
    <t xml:space="preserve">← water_storage_capacity_m3</t>
  </si>
  <si>
    <t xml:space="preserve">demand-coverage: DELIVERED storage total for brief metric water_storage_capacity_m3 = Fresh Water Tank 1× 40 m³ (contract quantity family) + Drain Water Tank 2× 40 m³ (contract quantity family) — sums the design's storage-vessel principals (capacity × qty), never the target echo, so a genuine shortfall stays visible</t>
  </si>
  <si>
    <t xml:space="preserve">fertigation_dosing_total_m3_h</t>
  </si>
  <si>
    <t xml:space="preserve">← fertigation_dosing_pump_throughput_m3_h</t>
  </si>
  <si>
    <t xml:space="preserve">demand-coverage: DELIVERED total = 45 m³/h per unit × 2 units (fertigation_dosing_pump_throughput_m3_h × fertigation_dosing_pump_count), corroborated by fertigation_dosing_capacity_m3_per_hr = 90 m³/h — the explicit system total, so no reader mistakes the per-unit figure for the delivery</t>
  </si>
  <si>
    <t xml:space="preserve">distribution_main_length_m</t>
  </si>
  <si>
    <t xml:space="preserve">← actuated_distribution_valve_count</t>
  </si>
  <si>
    <t xml:space="preserve">parametric — not routed (zoned-delivery distribution network, engineered allowance): delivery mains (department spines) = 2 group(s) × (10 branches × 7.7 m branch pitch + 30 m plant-room stand-off) = 214 m; DN125 at 45 m³/h ≤ 1.3 m/s (surge-limited delivery main on a cycling valve network)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</si>
  <si>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distribution_main_dn_mm</t>
  </si>
  <si>
    <t xml:space="preserve">parametric — not routed (zoned-delivery distribution network, engineered allowance): DN125 from d = √(4·Q/π·v) at the segment service velocity — see distribution_main_length_m for the run derivation</t>
  </si>
  <si>
    <t xml:space="preserve">distribution_riser_length_m</t>
  </si>
  <si>
    <t xml:space="preserve">parametric — not routed (zoned-delivery distribution network, engineered allowance): delivery risers = 40 risers (200 zones ÷ 5 levels) × 7 m (5 levels × 1.3 m tier pitch + 0.5 m) = 280 m; DN125 at 45 m³/h ≤ 1.3 m/s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</si>
  <si>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distribution_riser_dn_mm</t>
  </si>
  <si>
    <t xml:space="preserve">parametric — not routed (zoned-delivery distribution network, engineered allowance): DN125 from d = √(4·Q/π·v) at the segment service velocity — see distribution_riser_length_m for the run derivation</t>
  </si>
  <si>
    <t xml:space="preserve">distribution_zone_lateral_length_m</t>
  </si>
  <si>
    <t xml:space="preserve">parametric — not routed (zoned-delivery distribution network, engineered allowance): zone laterals = 200 zones × (30 positions/zone ÷ 2 rows × 2.76 m position pitch) = 200 × 41.4 m = 8280 m; DN75 at the 45 m³/h open-zone flood-fill duty ≤ 3.0 m/s (short-duration fill)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</si>
  <si>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distribution_zone_lateral_dn_mm</t>
  </si>
  <si>
    <t xml:space="preserve">parametric — not routed (zoned-delivery distribution network, engineered allowance): DN75 from d = √(4·Q/π·v) at the segment service velocity — see distribution_zone_lateral_length_m for the run derivation</t>
  </si>
  <si>
    <t xml:space="preserve">distribution_drain_riser_length_m</t>
  </si>
  <si>
    <t xml:space="preserve">parametric — not routed (zoned-delivery distribution network, engineered allowance): drain/return risers (mirror of the delivery grid) = 600 gravity drops (an outlet per 2 positions per level) × 7 m = 4200 m; DN110 gravity at 45 m³/h ≤ 1.4 m/s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</si>
  <si>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distribution_drain_riser_dn_mm</t>
  </si>
  <si>
    <t xml:space="preserve">parametric — not routed (zoned-delivery distribution network, engineered allowance): DN110 from d = √(4·Q/π·v) at the segment service velocity — see distribution_drain_riser_length_m for the run derivation</t>
  </si>
  <si>
    <t xml:space="preserve">distribution_drain_collection_length_m</t>
  </si>
  <si>
    <t xml:space="preserve">parametric — not routed (zoned-delivery distribution network, engineered allowance): drain collection lines = 2 floor lines/branch × 41.4 m × 20 branches = 1656 m; DN110 gravity ≤ 1.4 m/s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</si>
  <si>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distribution_drain_collection_dn_mm</t>
  </si>
  <si>
    <t xml:space="preserve">parametric — not routed (zoned-delivery distribution network, engineered allowance): DN110 from d = √(4·Q/π·v) at the segment service velocity — see distribution_drain_collection_length_m for the run derivation</t>
  </si>
  <si>
    <t xml:space="preserve">distribution_drain_main_length_m</t>
  </si>
  <si>
    <t xml:space="preserve">parametric — not routed (zoned-delivery distribution network, engineered allowance): main drain headers = the delivery-spine mirror (214 m); DN160 at 45 m³/h ≤ 0.8 m/s part-full gravity equivalent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</si>
  <si>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distribution_drain_main_dn_mm</t>
  </si>
  <si>
    <t xml:space="preserve">parametric — not routed (zoned-delivery distribution network, engineered allowance): DN160 from d = √(4·Q/π·v) at the segment service velocity — see distribution_drain_main_length_m for the run derivation</t>
  </si>
  <si>
    <t xml:space="preserve">distribution_network_length_km</t>
  </si>
  <si>
    <t xml:space="preserve">km</t>
  </si>
  <si>
    <t xml:space="preserve">parametric — not routed (zoned-delivery distribution network, engineered allowance): total zoned-distribution pipework = mains 214 + risers 280 + zone laterals 8280 + drain risers 4200 + drain collection 1656 + drain mains 214 = 14844 m = 14.844 km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</si>
  <si>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distribution_zone_kits</t>
  </si>
  <si>
    <t xml:space="preserve">parametric — not routed (zoned-delivery distribution network, engineered allowance): one zone connection kit (valve stub-in, unions, supports) per sectioning valve = 200</t>
  </si>
  <si>
    <t xml:space="preserve">distribution_position_connections</t>
  </si>
  <si>
    <t xml:space="preserve">parametric — not routed (zoned-delivery distribution network, engineered allowance): one delivery inlet stub + fitting per served position = 6000</t>
  </si>
  <si>
    <t xml:space="preserve">distribution_drain_outlet_connections</t>
  </si>
  <si>
    <t xml:space="preserve">parametric — not routed (zoned-delivery distribution network, engineered allowance): one gravity drain outlet per 2 served positions = 3000</t>
  </si>
  <si>
    <t xml:space="preserve">distribution_manifold_count</t>
  </si>
  <si>
    <t xml:space="preserve">parametric — not routed (zoned-delivery distribution network, engineered allowance): one distribution manifold station (delivery header, isolation + non-return valves, drain tie-in) per delivery group = 2</t>
  </si>
  <si>
    <t xml:space="preserve">→ part: Distribution Manifold</t>
  </si>
  <si>
    <t xml:space="preserve">distribution_manifold_throughput_m3_h</t>
  </si>
  <si>
    <t xml:space="preserve">parametric — not routed (zoned-delivery distribution network, engineered allowance): each distribution manifold passes its group's 45 m³/h delivery duty (irrigation_pump_flow_m3_h = 90 m³/h delivered ÷ 2 groups (the irrigation_demand_m3_per_hr = 45 m³/h per-group brief metric))</t>
  </si>
  <si>
    <t xml:space="preserve">hand_watering_ring_main_length_m</t>
  </si>
  <si>
    <t xml:space="preserve">parametric — not routed (zoned-delivery distribution network, engineered allowance): hand-watering ring main = 2 delivery group(s)/department(s) × 2 legs (ring out-and-return along the 107 m delivery spine, serving every branch head) = 428 m · 200 zones (actuated_distribution_valve_count) × 30 positions/zone (6000 served positions); 2 delivery group(s); 20 branch runs × 5 level(s); fill duty 45 m³/h/group from irrigation_pump_flow_m3_h = 90 m³/h delivered ÷ 2 groups (the irrigation_demand_m3_per_hr = 45 m³/h per-group brief metric)</t>
  </si>
  <si>
    <t xml:space="preserve">hand_watering_ring_main_dn_mm</t>
  </si>
  <si>
    <t xml:space="preserve">parametric — not routed (zoned-delivery distribution network, engineered allowance): DN90 from d = √(4·Q/π·v) at the 25 m³/h hand-watering duty (hand_watering_pump_throughput_m3_h) ≤ 1.3 m/s ring velocity — see hand_watering_ring_main_length_m for the run derivation</t>
  </si>
  <si>
    <t xml:space="preserve">hand_watering_riser_count</t>
  </si>
  <si>
    <t xml:space="preserve">parametric — not routed (zoned-delivery distribution network, engineered allowance): hand-watering tap risers (each a hand valve + quick connector) = 2 per branch × 20 branches + 2 per delivery group at the plant/irrigation room (4) = 44</t>
  </si>
  <si>
    <t xml:space="preserve">← connected_electrical_load_kw ✓ LIVE formula (Value is computed in-cell)</t>
  </si>
  <si>
    <t xml:space="preserve">main_incomer_breaker_frame_a  → part: Mains Incomer</t>
  </si>
  <si>
    <t xml:space="preserve">← main_incomer_breaker_a</t>
  </si>
  <si>
    <t xml:space="preserve">→ part: Mains Incomer</t>
  </si>
  <si>
    <t xml:space="preserve">softener_vessel_line_flow_m3_h</t>
  </si>
  <si>
    <t xml:space="preserve">demand-coverage: service-line duty for Softener Vessel = gac_softener_throughput_m3_h (14.5 m³/h) — the one delivered flow in this endpoint's distinctive-token family (the duty that serves/fills/drains it)</t>
  </si>
  <si>
    <t xml:space="preserve">drain_collection_sump_line_flow_m3_h</t>
  </si>
  <si>
    <t xml:space="preserve">demand-coverage: service-line duty for Drain Collection Sump = drain_transfer_pump_throughput_m3_h (45 m³/h) — the one delivered flow in this endpoint's distinctive-token family (the duty that serves/fills/drains it)</t>
  </si>
  <si>
    <t xml:space="preserve">interconnect_pipe_length_m</t>
  </si>
  <si>
    <t xml:space="preserve">derived</t>
  </si>
  <si>
    <t xml:space="preserve">route-manifest</t>
  </si>
  <si>
    <t xml:space="preserve">← brief</t>
  </si>
  <si>
    <t xml:space="preserve">measured routed fluid + thermal pipe length</t>
  </si>
  <si>
    <t xml:space="preserve">design-loop</t>
  </si>
  <si>
    <t xml:space="preserve">← total_supply_demand_kw ✓ LIVE formula (Value is computed in-cell)</t>
  </si>
  <si>
    <t xml:space="preserve">incomer kVA = next standard rating ≥ load × 1.25: 53 kW × 1.25 = 66.25 kVA → 75 kVA (standard ladder 50/75/100/160/250…; kVA ≥ kW for any power factor — the assumption-free adequacy basis the deterministic check verifies)</t>
  </si>
  <si>
    <t xml:space="preserve">Worked calculations — every value recomputed live + checked</t>
  </si>
  <si>
    <t xml:space="preserve">Yellow = editable input. Green col B = LIVE formula. 'Engine value' = the value the engine stored; Δ should be ~0 (inputs are display-rounded to 4 s.f.). Legacy calcs (no input map) are RECOMPUTED LIVE from their substitution and cross-checked against the engine value (col H verdict).</t>
  </si>
  <si>
    <t xml:space="preserve">Shared constants (referenced by formulas below)</t>
  </si>
  <si>
    <t xml:space="preserve">Constant</t>
  </si>
  <si>
    <t xml:space="preserve">rho</t>
  </si>
  <si>
    <t xml:space="preserve">process-fluid density (median of 3 engine worked-calc input(s))</t>
  </si>
  <si>
    <t xml:space="preserve">rho_air</t>
  </si>
  <si>
    <t xml:space="preserve">air density</t>
  </si>
  <si>
    <t xml:space="preserve">g</t>
  </si>
  <si>
    <t xml:space="preserve">m/s²</t>
  </si>
  <si>
    <t xml:space="preserve">gravity</t>
  </si>
  <si>
    <t xml:space="preserve">pi</t>
  </si>
  <si>
    <t xml:space="preserve">-</t>
  </si>
  <si>
    <t xml:space="preserve">pi (use PI() in formulas)</t>
  </si>
  <si>
    <t xml:space="preserve">mu</t>
  </si>
  <si>
    <t xml:space="preserve">Pa·s</t>
  </si>
  <si>
    <t xml:space="preserve">dynamic viscosity (water)</t>
  </si>
  <si>
    <t xml:space="preserve">Tool data-flow — where each tool's inputs came from and where its outputs go</t>
  </si>
  <si>
    <t xml:space="preserve">Each row: a tool OUTPUT, the INPUT it was computed from (— from), and where that value GOES (→ Consumed by). Status: USED/TRACED = the output flows on; ORPHANED = it appears nowhere downstream; STALE = the downstream value disagrees.</t>
  </si>
  <si>
    <t xml:space="preserve">Worked calculations — every value recomputed live + cross-checked</t>
  </si>
  <si>
    <t xml:space="preserve">Arc Flash IEEE 1584   ·   arc-flash:ieee-1584</t>
  </si>
  <si>
    <t xml:space="preserve">Calc / input</t>
  </si>
  <si>
    <t xml:space="preserve">Value (live)</t>
  </si>
  <si>
    <t xml:space="preserve">Formula (text)</t>
  </si>
  <si>
    <t xml:space="preserve">Engine value</t>
  </si>
  <si>
    <t xml:space="preserve">Δ</t>
  </si>
  <si>
    <t xml:space="preserve">Assumptions</t>
  </si>
  <si>
    <t xml:space="preserve">Incident energy (J/cm2 -&gt; cal/cm2)</t>
  </si>
  <si>
    <t xml:space="preserve">incident_energy_cal = incident_energy_j x cal_per_j</t>
  </si>
  <si>
    <t xml:space="preserve">  incident_energy_j</t>
  </si>
  <si>
    <t xml:space="preserve">J/cm2</t>
  </si>
  <si>
    <t xml:space="preserve">  cal_per_j</t>
  </si>
  <si>
    <t xml:space="preserve">cal/J</t>
  </si>
  <si>
    <t xml:space="preserve">  = result</t>
  </si>
  <si>
    <t xml:space="preserve">incident_energy_j x cal_per_j</t>
  </si>
  <si>
    <t xml:space="preserve">J/cm2 from the IEEE 1584-2018 empirical model (governing of full/reduced arcing-current cases)</t>
  </si>
  <si>
    <t xml:space="preserve">Control Systems PID Tuning   ·   control-systems:pid-tuning</t>
  </si>
  <si>
    <t xml:space="preserve">FOPTD time constant (Smith two-point fit)</t>
  </si>
  <si>
    <t xml:space="preserve">tau = 1.5 x (t63 - t28)</t>
  </si>
  <si>
    <t xml:space="preserve">  t63</t>
  </si>
  <si>
    <t xml:space="preserve">s</t>
  </si>
  <si>
    <t xml:space="preserve">  t28</t>
  </si>
  <si>
    <t xml:space="preserve">1.5 x (t63 - t28)</t>
  </si>
  <si>
    <t xml:space="preserve">Smith's method: 28.3% / 63.2% step-response times of the full plant</t>
  </si>
  <si>
    <t xml:space="preserve">FOPTD dead time</t>
  </si>
  <si>
    <t xml:space="preserve">theta = t63 - tau</t>
  </si>
  <si>
    <t xml:space="preserve">  tau</t>
  </si>
  <si>
    <t xml:space="preserve">↳ chained from $B$69</t>
  </si>
  <si>
    <t xml:space="preserve">t63 - tau</t>
  </si>
  <si>
    <t xml:space="preserve">dead time from the same two-point FOPTD fit</t>
  </si>
  <si>
    <t xml:space="preserve">Proportional gain (IMC PI rule)</t>
  </si>
  <si>
    <t xml:space="preserve">Kp = (1 / K) x tau / (L + theta)</t>
  </si>
  <si>
    <t xml:space="preserve">  K</t>
  </si>
  <si>
    <t xml:space="preserve">  theta</t>
  </si>
  <si>
    <t xml:space="preserve">↳ chained from $B$74</t>
  </si>
  <si>
    <t xml:space="preserve">  L</t>
  </si>
  <si>
    <t xml:space="preserve">(1 / K) x tau / (L + theta)</t>
  </si>
  <si>
    <t xml:space="preserve">IMC / Skogestad SIMC rule; L = the IMC lambda time-constant</t>
  </si>
  <si>
    <t xml:space="preserve">Integral gain</t>
  </si>
  <si>
    <t xml:space="preserve">Ki = Kp / Ti</t>
  </si>
  <si>
    <t xml:space="preserve">  Kp</t>
  </si>
  <si>
    <t xml:space="preserve">↳ chained from $B$81</t>
  </si>
  <si>
    <t xml:space="preserve">  Ti</t>
  </si>
  <si>
    <t xml:space="preserve">1/s</t>
  </si>
  <si>
    <t xml:space="preserve">Kp / Ti</t>
  </si>
  <si>
    <t xml:space="preserve">integral time Ti = 1.635 s from the IMC rule</t>
  </si>
  <si>
    <t xml:space="preserve">Electrical Main Feeder Cable Sizing (BS 7671)   ·   electrical:cable-sizing</t>
  </si>
  <si>
    <t xml:space="preserve">De-rated tabulated-current target</t>
  </si>
  <si>
    <t xml:space="preserve">I_t = I_b / (Ca x Cg)</t>
  </si>
  <si>
    <t xml:space="preserve">  I_b</t>
  </si>
  <si>
    <t xml:space="preserve">  Ca</t>
  </si>
  <si>
    <t xml:space="preserve">  Cg</t>
  </si>
  <si>
    <t xml:space="preserve">I_b / (Ca x Cg)</t>
  </si>
  <si>
    <t xml:space="preserve">design current basis: design current (given)</t>
  </si>
  <si>
    <t xml:space="preserve">Conductor cross-sectional area (standard selection)</t>
  </si>
  <si>
    <t xml:space="preserve">CSA = smallest standard with ampacity x n_parallel &gt;= I_t</t>
  </si>
  <si>
    <t xml:space="preserve">  I_t</t>
  </si>
  <si>
    <t xml:space="preserve">↳ chained from $B$95</t>
  </si>
  <si>
    <t xml:space="preserve">  n_parallel</t>
  </si>
  <si>
    <t xml:space="preserve">smallest standard with ampacity x n_parallel &gt;= I_t</t>
  </si>
  <si>
    <t xml:space="preserve">copper, 90 C thermosetting, Reference Method C (clipped direct)</t>
  </si>
  <si>
    <t xml:space="preserve">Volt drop</t>
  </si>
  <si>
    <t xml:space="preserve">Vd = (mV/A/m) x I_b x L / (1000 x n_parallel)</t>
  </si>
  <si>
    <t xml:space="preserve">  mV/A/m</t>
  </si>
  <si>
    <t xml:space="preserve">mV/A/m</t>
  </si>
  <si>
    <t xml:space="preserve">V</t>
  </si>
  <si>
    <t xml:space="preserve">(mV/A/m) x I_b x L / (1000 x n_parallel)</t>
  </si>
  <si>
    <t xml:space="preserve">mV/A/m for 25 mm2 copper (BS 7671 Appendix 4)</t>
  </si>
  <si>
    <t xml:space="preserve">Volt drop as percentage of nominal</t>
  </si>
  <si>
    <t xml:space="preserve">Vd_pct = 100 x Vd / U_nom</t>
  </si>
  <si>
    <t xml:space="preserve">  Vd</t>
  </si>
  <si>
    <t xml:space="preserve">↳ chained from $B$107</t>
  </si>
  <si>
    <t xml:space="preserve">  U_nom</t>
  </si>
  <si>
    <t xml:space="preserve">100 x Vd / U_nom</t>
  </si>
  <si>
    <t xml:space="preserve">BS 7671 §525 advisory ceiling 3.0% (within limit)</t>
  </si>
  <si>
    <t xml:space="preserve">Electrical Distribution Transformer Sizing   ·   electrical:transformer-sizing</t>
  </si>
  <si>
    <t xml:space="preserve">Apparent power demand (informational)</t>
  </si>
  <si>
    <t xml:space="preserve">S_load = P / pf</t>
  </si>
  <si>
    <t xml:space="preserve">  P</t>
  </si>
  <si>
    <t xml:space="preserve">  pf</t>
  </si>
  <si>
    <t xml:space="preserve">P / pf</t>
  </si>
  <si>
    <t xml:space="preserve">informational only — the nameplate mint below is pf-free (kVA &gt;= kW at any pf)</t>
  </si>
  <si>
    <t xml:space="preserve">Required rating (one-mint incomer rule)</t>
  </si>
  <si>
    <t xml:space="preserve">S_req = P x (1 + headroom)</t>
  </si>
  <si>
    <t xml:space="preserve">  headroom</t>
  </si>
  <si>
    <t xml:space="preserve">P x (1 + headroom)</t>
  </si>
  <si>
    <t xml:space="preserve">kVA &gt;= load x 1.25 — assumption-free adequacy (kVA &gt;= kW at any power factor)</t>
  </si>
  <si>
    <t xml:space="preserve">Transformer nameplate (next standard rating)</t>
  </si>
  <si>
    <t xml:space="preserve">S_rated = ceil_to_standard(S_req)</t>
  </si>
  <si>
    <t xml:space="preserve">  S_req</t>
  </si>
  <si>
    <t xml:space="preserve">↳ chained from $B$125</t>
  </si>
  <si>
    <t xml:space="preserve">ceil_to_standard(S_req)</t>
  </si>
  <si>
    <t xml:space="preserve">smallest standard preferred kVA rating &gt;= required (IEC 60076 series + the 75 kVA trade step; ladder 25/50/75/100/160/250…)</t>
  </si>
  <si>
    <t xml:space="preserve">Primary line current</t>
  </si>
  <si>
    <t xml:space="preserve">I = S x 1000 / (sqrt(3) x U_LL)</t>
  </si>
  <si>
    <t xml:space="preserve">  S</t>
  </si>
  <si>
    <t xml:space="preserve">  U_LL</t>
  </si>
  <si>
    <t xml:space="preserve">S x 1000 / (sqrt(3) x U_LL)</t>
  </si>
  <si>
    <t xml:space="preserve">three-phase line current (line-to-line voltage)</t>
  </si>
  <si>
    <t xml:space="preserve">Secondary line current</t>
  </si>
  <si>
    <t xml:space="preserve">Liquid Phase GAC Filter Sizing   ·   gac-filter:liquid-phase-sizing</t>
  </si>
  <si>
    <t xml:space="preserve">Vessel Volume</t>
  </si>
  <si>
    <t xml:space="preserve">Q * (EBCT / 60)</t>
  </si>
  <si>
    <t xml:space="preserve">  Q</t>
  </si>
  <si>
    <t xml:space="preserve">  EBCT</t>
  </si>
  <si>
    <t xml:space="preserve">Cross-sectional Area</t>
  </si>
  <si>
    <t xml:space="preserve">Q / HLR</t>
  </si>
  <si>
    <t xml:space="preserve">  HLR</t>
  </si>
  <si>
    <t xml:space="preserve">Vessel Diameter</t>
  </si>
  <si>
    <t xml:space="preserve">sqrt(4 * A / pi)</t>
  </si>
  <si>
    <t xml:space="preserve">  A</t>
  </si>
  <si>
    <t xml:space="preserve">  pi</t>
  </si>
  <si>
    <t xml:space="preserve">↳ chained from $B$9</t>
  </si>
  <si>
    <t xml:space="preserve">Ion Exchange Softener Sizing   ·   ion-exchange:softener-sizing</t>
  </si>
  <si>
    <t xml:space="preserve">Hardness Removed</t>
  </si>
  <si>
    <t xml:space="preserve">H_in - H_out</t>
  </si>
  <si>
    <t xml:space="preserve">  H_in</t>
  </si>
  <si>
    <t xml:space="preserve">  H_out</t>
  </si>
  <si>
    <t xml:space="preserve">dH</t>
  </si>
  <si>
    <t xml:space="preserve">Hardness Load</t>
  </si>
  <si>
    <t xml:space="preserve">Q * H_removed * EQ_PER_M3_PER_DH * t_regen</t>
  </si>
  <si>
    <t xml:space="preserve">  H_removed</t>
  </si>
  <si>
    <t xml:space="preserve">  EQ_PER_M3_PER_DH</t>
  </si>
  <si>
    <t xml:space="preserve">  t_regen</t>
  </si>
  <si>
    <t xml:space="preserve">eq</t>
  </si>
  <si>
    <t xml:space="preserve">Resin Volume  [build-verified]</t>
  </si>
  <si>
    <t xml:space="preserve">Hardness Load / RESIN_CAPACITY</t>
  </si>
  <si>
    <t xml:space="preserve">formula</t>
  </si>
  <si>
    <t xml:space="preserve">substitution</t>
  </si>
  <si>
    <t xml:space="preserve">369.59 / 1200.0</t>
  </si>
  <si>
    <t xml:space="preserve">result</t>
  </si>
  <si>
    <t xml:space="preserve">Vessel Volume  [build-verified]</t>
  </si>
  <si>
    <t xml:space="preserve">Resin Volume * VESSEL_FREEBOARD_FACTOR</t>
  </si>
  <si>
    <t xml:space="preserve">0.3080 * 1.5</t>
  </si>
  <si>
    <t xml:space="preserve">Salt Consumption  [build-verified]</t>
  </si>
  <si>
    <t xml:space="preserve">Resin Volume * SALT_DOSAGE</t>
  </si>
  <si>
    <t xml:space="preserve">0.3080 * 150.0</t>
  </si>
  <si>
    <t xml:space="preserve">Ebb and Flow Irrigation Demand   ·   irrigation:ebb-flow-demand</t>
  </si>
  <si>
    <t xml:space="preserve">Flood Volume</t>
  </si>
  <si>
    <t xml:space="preserve">Container_Count * Area_per_Container * Flood_Depth</t>
  </si>
  <si>
    <t xml:space="preserve">  Container_Count</t>
  </si>
  <si>
    <t xml:space="preserve">  Area_per_Container</t>
  </si>
  <si>
    <t xml:space="preserve">  Flood_Depth</t>
  </si>
  <si>
    <t xml:space="preserve">Peak Irrigation Flow  [build-verified]</t>
  </si>
  <si>
    <t xml:space="preserve">Flood Volume / Flood_Time</t>
  </si>
  <si>
    <t xml:space="preserve">600.0000 / 0.5</t>
  </si>
  <si>
    <t xml:space="preserve">Drain Collection Sump Volume  [build-verified]</t>
  </si>
  <si>
    <t xml:space="preserve">Flood Volume * Drain_Fraction</t>
  </si>
  <si>
    <t xml:space="preserve">600.0000 * 1.0</t>
  </si>
  <si>
    <t xml:space="preserve">Irrigation Pump Sizing   ·   irrigation:pump-sizing</t>
  </si>
  <si>
    <t xml:space="preserve">Total system flow</t>
  </si>
  <si>
    <t xml:space="preserve">flow_lpm = (demand_m3_h x 1000) / 60</t>
  </si>
  <si>
    <t xml:space="preserve">  demand_m3_h</t>
  </si>
  <si>
    <t xml:space="preserve">L/min</t>
  </si>
  <si>
    <t xml:space="preserve">(demand_m3_h x 1000) / 60</t>
  </si>
  <si>
    <t xml:space="preserve">stated peak irrigation demand governs: 90.0 m3/h &gt;= emitter-summed flow 6000 x 2.0 L/h = 12.0 m3/h (pump never undersized vs the demand)</t>
  </si>
  <si>
    <t xml:space="preserve">Total pump head</t>
  </si>
  <si>
    <t xml:space="preserve">head = static_head + friction_head + emitter_head</t>
  </si>
  <si>
    <t xml:space="preserve">  static_head</t>
  </si>
  <si>
    <t xml:space="preserve">  friction_head</t>
  </si>
  <si>
    <t xml:space="preserve">  emitter_head</t>
  </si>
  <si>
    <t xml:space="preserve">static_head + friction_head + emitter_head</t>
  </si>
  <si>
    <t xml:space="preserve">friction_head from Hazen-Williams (C=150 PVC)</t>
  </si>
  <si>
    <t xml:space="preserve">Pump hydraulic power</t>
  </si>
  <si>
    <t xml:space="preserve">P_hyd = 1000 x 9.81 x (Q_m3h / 3600) x head</t>
  </si>
  <si>
    <t xml:space="preserve">  Q_m3h</t>
  </si>
  <si>
    <t xml:space="preserve">  head</t>
  </si>
  <si>
    <t xml:space="preserve">↳ chained from $B$219</t>
  </si>
  <si>
    <t xml:space="preserve">W</t>
  </si>
  <si>
    <t xml:space="preserve">1000 x 9.81 x (Q_m3h / 3600) x head</t>
  </si>
  <si>
    <t xml:space="preserve">P = rho x g x Q x H, water rho 1000 kg/m3, g 9.81 m/s2</t>
  </si>
  <si>
    <t xml:space="preserve">Pump shaft power</t>
  </si>
  <si>
    <t xml:space="preserve">P_shaft = P_hyd / pump_eff</t>
  </si>
  <si>
    <t xml:space="preserve">  P_hyd</t>
  </si>
  <si>
    <t xml:space="preserve">↳ chained from $B$224</t>
  </si>
  <si>
    <t xml:space="preserve">  pump_eff</t>
  </si>
  <si>
    <t xml:space="preserve">P_hyd / pump_eff</t>
  </si>
  <si>
    <t xml:space="preserve">drip pump efficiency 0.65 at duty point</t>
  </si>
  <si>
    <t xml:space="preserve">Motor input power</t>
  </si>
  <si>
    <t xml:space="preserve">P_motor = P_shaft / motor_eff</t>
  </si>
  <si>
    <t xml:space="preserve">  P_shaft</t>
  </si>
  <si>
    <t xml:space="preserve">↳ chained from $B$229</t>
  </si>
  <si>
    <t xml:space="preserve">  motor_eff</t>
  </si>
  <si>
    <t xml:space="preserve">P_shaft / motor_eff</t>
  </si>
  <si>
    <t xml:space="preserve">Pipe velocity</t>
  </si>
  <si>
    <t xml:space="preserve">velocity = (Q_m3h / 3600) / (pipe_area_mm2 / 1000000)</t>
  </si>
  <si>
    <t xml:space="preserve">  pipe_area_mm2</t>
  </si>
  <si>
    <t xml:space="preserve">(Q_m3h / 3600) / (pipe_area_mm2 / 1000000)</t>
  </si>
  <si>
    <t xml:space="preserve">keep &lt; 2.5 m/s to avoid erosion / water hammer</t>
  </si>
  <si>
    <t xml:space="preserve">Mass Budget Aggregator   ·   mass-aggregator:envelope-check</t>
  </si>
  <si>
    <t xml:space="preserve">Total system mass</t>
  </si>
  <si>
    <t xml:space="preserve">M_total = M_cells + M_transformer + M_pcs + M_racks + M_tare + M_components</t>
  </si>
  <si>
    <t xml:space="preserve">  M_cells</t>
  </si>
  <si>
    <t xml:space="preserve">  M_transformer</t>
  </si>
  <si>
    <t xml:space="preserve">  M_pcs</t>
  </si>
  <si>
    <t xml:space="preserve">  M_racks</t>
  </si>
  <si>
    <t xml:space="preserve">  M_tare</t>
  </si>
  <si>
    <t xml:space="preserve">  M_components</t>
  </si>
  <si>
    <t xml:space="preserve">M_cells + M_transformer + M_pcs + M_racks + M_tare + M_components</t>
  </si>
  <si>
    <t xml:space="preserve">M_racks = rack_count x rack mass each = 0 x 0 kg</t>
  </si>
  <si>
    <t xml:space="preserve">Mass budget utilisation</t>
  </si>
  <si>
    <t xml:space="preserve">U = M_total / M_envelope x 100</t>
  </si>
  <si>
    <t xml:space="preserve">  M_total</t>
  </si>
  <si>
    <t xml:space="preserve">↳ chained from $B$251</t>
  </si>
  <si>
    <t xml:space="preserve">  M_envelope</t>
  </si>
  <si>
    <t xml:space="preserve">M_total / M_envelope x 100</t>
  </si>
  <si>
    <t xml:space="preserve">brief mass envelope from max_mass_kg_envelope</t>
  </si>
  <si>
    <t xml:space="preserve">Mass budget breach (positive = over the envelope)</t>
  </si>
  <si>
    <t xml:space="preserve">B = M_total - M_envelope</t>
  </si>
  <si>
    <t xml:space="preserve">M_total - M_envelope</t>
  </si>
  <si>
    <t xml:space="preserve">Recommended container count</t>
  </si>
  <si>
    <t xml:space="preserve">N = ceil(M_total / M_envelope)</t>
  </si>
  <si>
    <t xml:space="preserve">ceil(M_total / M_envelope)</t>
  </si>
  <si>
    <t xml:space="preserve">round up: any breach forces an additional road-transportable container</t>
  </si>
  <si>
    <t xml:space="preserve">Cloth/Screen Filter Sizing   ·   mechanical-filtration:cloth-screen</t>
  </si>
  <si>
    <t xml:space="preserve">Hydraulic Loading Rate</t>
  </si>
  <si>
    <t xml:space="preserve">4.0 * (micron^0.4) * (20.0 / TSS)^0.5</t>
  </si>
  <si>
    <t xml:space="preserve">  micron</t>
  </si>
  <si>
    <t xml:space="preserve">  TSS</t>
  </si>
  <si>
    <t xml:space="preserve">Cloth Filter Area</t>
  </si>
  <si>
    <t xml:space="preserve">pH Titration Sizing   ·   ph-titration:sizing</t>
  </si>
  <si>
    <t xml:space="preserve">Moles of H+ needed for initial bolus</t>
  </si>
  <si>
    <t xml:space="preserve">mol_H = (buffer_cap / 1000) x delta_pH x volume_l</t>
  </si>
  <si>
    <t xml:space="preserve">  buffer_cap</t>
  </si>
  <si>
    <t xml:space="preserve">meq/L</t>
  </si>
  <si>
    <t xml:space="preserve">  delta_pH</t>
  </si>
  <si>
    <t xml:space="preserve">  volume_l</t>
  </si>
  <si>
    <t xml:space="preserve">mol</t>
  </si>
  <si>
    <t xml:space="preserve">(buffer_cap / 1000) x delta_pH x volume_l</t>
  </si>
  <si>
    <t xml:space="preserve">buffer_cap in meq/L; divide by 1000 to convert meq to eq (= mol H+ for monoprotic)</t>
  </si>
  <si>
    <t xml:space="preserve">Initial bolus volume of acid/base</t>
  </si>
  <si>
    <t xml:space="preserve">initial_dose_ml = mol_H / acid_conc x 1000</t>
  </si>
  <si>
    <t xml:space="preserve">  mol_H</t>
  </si>
  <si>
    <t xml:space="preserve">↳ chained from $B$288</t>
  </si>
  <si>
    <t xml:space="preserve">  acid_conc</t>
  </si>
  <si>
    <t xml:space="preserve">mol/L</t>
  </si>
  <si>
    <t xml:space="preserve">mL</t>
  </si>
  <si>
    <t xml:space="preserve">mol_H / acid_conc x 1000</t>
  </si>
  <si>
    <t xml:space="preserve">Volume = moles / concentration; x 1000 converts L to mL</t>
  </si>
  <si>
    <t xml:space="preserve">CO2 production rate in moles per hour</t>
  </si>
  <si>
    <t xml:space="preserve">co2_mol_h = co2_g_h / 44</t>
  </si>
  <si>
    <t xml:space="preserve">  co2_g_h</t>
  </si>
  <si>
    <t xml:space="preserve">g/h</t>
  </si>
  <si>
    <t xml:space="preserve">mol/h</t>
  </si>
  <si>
    <t xml:space="preserve">co2_g_h / 44</t>
  </si>
  <si>
    <t xml:space="preserve">Molar mass of CO2 = 44 g/mol</t>
  </si>
  <si>
    <t xml:space="preserve">H+ generation rate from CO2 dissolution</t>
  </si>
  <si>
    <t xml:space="preserve">H_plus_mol_h = co2_mol_h x 0.30</t>
  </si>
  <si>
    <t xml:space="preserve">  co2_mol_h</t>
  </si>
  <si>
    <t xml:space="preserve">↳ chained from $B$297</t>
  </si>
  <si>
    <t xml:space="preserve">co2_mol_h x 0.30</t>
  </si>
  <si>
    <t xml:space="preserve">~30% of dissolved CO2 forms H+ in bicarbonate-buffered medium at physiological pH</t>
  </si>
  <si>
    <t xml:space="preserve">Uncontrolled pH swing per minute</t>
  </si>
  <si>
    <t xml:space="preserve">dpH_per_min = (H_plus_mol_h / 60 x 1000) / (buffer_cap x volume_l)</t>
  </si>
  <si>
    <t xml:space="preserve">  H_plus_mol_h</t>
  </si>
  <si>
    <t xml:space="preserve">↳ chained from $B$301</t>
  </si>
  <si>
    <t xml:space="preserve">pH/min</t>
  </si>
  <si>
    <t xml:space="preserve">(H_plus_mol_h / 60 x 1000) / (buffer_cap x volume_l)</t>
  </si>
  <si>
    <t xml:space="preserve">H+ rate x 1000 converts mol to mmol (= meq for monoprotic acid)</t>
  </si>
  <si>
    <t xml:space="preserve">Pressure Vessel Wall Design (hoop-stress sizing)   ·   pressure-vessel:design</t>
  </si>
  <si>
    <t xml:space="preserve">Internal design pressure</t>
  </si>
  <si>
    <t xml:space="preserve">p_design_mpa = p_design_barg x 0.1</t>
  </si>
  <si>
    <t xml:space="preserve">  p_design_barg</t>
  </si>
  <si>
    <t xml:space="preserve">barg</t>
  </si>
  <si>
    <t xml:space="preserve">MPa</t>
  </si>
  <si>
    <t xml:space="preserve">p_design_barg x 0.1</t>
  </si>
  <si>
    <t xml:space="preserve">internal gauge design pressure of the process vessel</t>
  </si>
  <si>
    <t xml:space="preserve">Shell minimum thickness (hoop stress, internal pressure)</t>
  </si>
  <si>
    <t xml:space="preserve">t = p_design x D / (2 x S x E - 1.2 x p_design) + corr</t>
  </si>
  <si>
    <t xml:space="preserve">  p_design</t>
  </si>
  <si>
    <t xml:space="preserve">  D</t>
  </si>
  <si>
    <t xml:space="preserve">  E</t>
  </si>
  <si>
    <t xml:space="preserve">  corr</t>
  </si>
  <si>
    <t xml:space="preserve">p_design x D / (2 x S x E - 1.2 x p_design) + corr</t>
  </si>
  <si>
    <t xml:space="preserve">ASME VIII Div.1 UG-27 circumferential-stress form (BS EN 13445 equivalent)</t>
  </si>
  <si>
    <t xml:space="preserve">Hoop stress at adopted wall (internal pressure)</t>
  </si>
  <si>
    <t xml:space="preserve">sigma_hoop = p_design x D / (2 x t)</t>
  </si>
  <si>
    <t xml:space="preserve">  t</t>
  </si>
  <si>
    <t xml:space="preserve">↳ chained from $B$322</t>
  </si>
  <si>
    <t xml:space="preserve">p_design x D / (2 x t)</t>
  </si>
  <si>
    <t xml:space="preserve">thin-wall cylinder under internal pressure</t>
  </si>
  <si>
    <t xml:space="preserve">Yield safety factor (hoop-governing, internal pressure)</t>
  </si>
  <si>
    <t xml:space="preserve">SF_yield = yield_mpa / sigma_hoop</t>
  </si>
  <si>
    <t xml:space="preserve">  yield_mpa</t>
  </si>
  <si>
    <t xml:space="preserve">  sigma_hoop</t>
  </si>
  <si>
    <t xml:space="preserve">↳ chained from $B$328</t>
  </si>
  <si>
    <t xml:space="preserve">yield_mpa / sigma_hoop</t>
  </si>
  <si>
    <t xml:space="preserve">material steel_316L; yield from datasheet/standard</t>
  </si>
  <si>
    <t xml:space="preserve">Cylinder wall mass</t>
  </si>
  <si>
    <t xml:space="preserve">mass = pi x (r_outer^2 - r_inner^2) x length_mm x density / 1e9</t>
  </si>
  <si>
    <t xml:space="preserve">  r_outer</t>
  </si>
  <si>
    <t xml:space="preserve">  r_inner</t>
  </si>
  <si>
    <t xml:space="preserve">  length_mm</t>
  </si>
  <si>
    <t xml:space="preserve">  density</t>
  </si>
  <si>
    <t xml:space="preserve">kg/m3</t>
  </si>
  <si>
    <t xml:space="preserve">pi x (r_outer^2 - r_inner^2) x length_mm x density / 1e9</t>
  </si>
  <si>
    <t xml:space="preserve">material steel_316L</t>
  </si>
  <si>
    <t xml:space="preserve">Head mass (2 flat-plate heads)</t>
  </si>
  <si>
    <t xml:space="preserve">mass = 2 x pi x r_outer^2 x t x density / 1e9</t>
  </si>
  <si>
    <t xml:space="preserve">2 x pi x r_outer^2 x t x density / 1e9</t>
  </si>
  <si>
    <t xml:space="preserve">flat-head approximation (conservative vs torispherical); 2 heads</t>
  </si>
  <si>
    <t xml:space="preserve">Total vessel shell mass</t>
  </si>
  <si>
    <t xml:space="preserve">total_mass = mass_cylinder + mass_heads</t>
  </si>
  <si>
    <t xml:space="preserve">  mass_cylinder</t>
  </si>
  <si>
    <t xml:space="preserve">  mass_heads</t>
  </si>
  <si>
    <t xml:space="preserve">mass_cylinder + mass_heads</t>
  </si>
  <si>
    <t xml:space="preserve">Process Centrifugal Pump Sizing   ·   process:pump-sizing</t>
  </si>
  <si>
    <t xml:space="preserve">Per-pump duty flow</t>
  </si>
  <si>
    <t xml:space="preserve">Q_pump = Q_total / N_parallel</t>
  </si>
  <si>
    <t xml:space="preserve">  Q_total</t>
  </si>
  <si>
    <t xml:space="preserve">  N_parallel</t>
  </si>
  <si>
    <t xml:space="preserve">Q_total / N_parallel</t>
  </si>
  <si>
    <t xml:space="preserve">2 parallel pump trains share the duty; ONE pump is sized on its share (per-pump x 2 = the loop total)</t>
  </si>
  <si>
    <t xml:space="preserve">V = (Q_m3h / 3600) / (pi/4 x D^2)</t>
  </si>
  <si>
    <t xml:space="preserve">(Q_m3h / 3600) / (pi/4 x D^2)</t>
  </si>
  <si>
    <t xml:space="preserve">Q_m3h / 3600 converts m3/h to m3/s</t>
  </si>
  <si>
    <t xml:space="preserve">Reynolds number</t>
  </si>
  <si>
    <t xml:space="preserve">Re = rho x V x D / mu</t>
  </si>
  <si>
    <t xml:space="preserve">  rho</t>
  </si>
  <si>
    <t xml:space="preserve">↳ chained from $B$6</t>
  </si>
  <si>
    <t xml:space="preserve">  V</t>
  </si>
  <si>
    <t xml:space="preserve">↳ chained from $B$364</t>
  </si>
  <si>
    <t xml:space="preserve">  mu</t>
  </si>
  <si>
    <t xml:space="preserve">Pa.s</t>
  </si>
  <si>
    <t xml:space="preserve">↳ chained from $B$10</t>
  </si>
  <si>
    <t xml:space="preserve">rho x V x D / mu</t>
  </si>
  <si>
    <t xml:space="preserve">Newtonian fluid; pipe internal bore</t>
  </si>
  <si>
    <t xml:space="preserve">Darcy friction factor (Swamee-Jain)</t>
  </si>
  <si>
    <t xml:space="preserve">f = 0.25 / (log10(rel_rough/3.7 + 5.74/Re^0.9))^2</t>
  </si>
  <si>
    <t xml:space="preserve">  rel_rough</t>
  </si>
  <si>
    <t xml:space="preserve">  Re</t>
  </si>
  <si>
    <t xml:space="preserve">↳ chained from $B$371</t>
  </si>
  <si>
    <t xml:space="preserve">0.25 / (log10(rel_rough/3.7 + 5.74/Re^0.9))^2</t>
  </si>
  <si>
    <t xml:space="preserve">Swamee-Jain explicit Colebrook (turbulent)</t>
  </si>
  <si>
    <t xml:space="preserve">Pipe friction head (Darcy-Weisbach)</t>
  </si>
  <si>
    <t xml:space="preserve">H_friction = f x (L_eff / D) x V^2 / (2 x g)</t>
  </si>
  <si>
    <t xml:space="preserve">  f</t>
  </si>
  <si>
    <t xml:space="preserve">↳ chained from $B$376</t>
  </si>
  <si>
    <t xml:space="preserve">  L_eff</t>
  </si>
  <si>
    <t xml:space="preserve">  g</t>
  </si>
  <si>
    <t xml:space="preserve">m/s2</t>
  </si>
  <si>
    <t xml:space="preserve">↳ chained from $B$8</t>
  </si>
  <si>
    <t xml:space="preserve">f x (L_eff / D) x V^2 / (2 x g)</t>
  </si>
  <si>
    <t xml:space="preserve">Darcy-Weisbach pipe friction (chemical-engineering standard)</t>
  </si>
  <si>
    <t xml:space="preserve">Process backpressure head</t>
  </si>
  <si>
    <t xml:space="preserve">H_process = backpressure_kpa x 1000 / (rho x g)</t>
  </si>
  <si>
    <t xml:space="preserve">  backpressure_kpa</t>
  </si>
  <si>
    <t xml:space="preserve">kPa</t>
  </si>
  <si>
    <t xml:space="preserve">backpressure_kpa x 1000 / (rho x g)</t>
  </si>
  <si>
    <t xml:space="preserve">column packing + heat exchangers + filter pressure drop</t>
  </si>
  <si>
    <t xml:space="preserve">Pump total dynamic head</t>
  </si>
  <si>
    <t xml:space="preserve">H_total = authoritative TDH (override)</t>
  </si>
  <si>
    <t xml:space="preserve">  H_total_override</t>
  </si>
  <si>
    <t xml:space="preserve">authoritative TDH (override)</t>
  </si>
  <si>
    <t xml:space="preserve">caller-supplied total dynamic head (static+process+friction pre-summed upstream)</t>
  </si>
  <si>
    <t xml:space="preserve">P_hyd = rho x g x (Q_m3h / 3600) x H_total</t>
  </si>
  <si>
    <t xml:space="preserve">  H_total</t>
  </si>
  <si>
    <t xml:space="preserve">↳ chained from $B$394</t>
  </si>
  <si>
    <t xml:space="preserve">rho x g x (Q_m3h / 3600) x H_total</t>
  </si>
  <si>
    <t xml:space="preserve">P = rho g Q H</t>
  </si>
  <si>
    <t xml:space="preserve">↳ chained from $B$401</t>
  </si>
  <si>
    <t xml:space="preserve">centrifugal pump efficiency 0.75 at duty point</t>
  </si>
  <si>
    <t xml:space="preserve">↳ chained from $B$406</t>
  </si>
  <si>
    <t xml:space="preserve">motor efficiency 0.85; recommended frame = 3.0 kW (next standard size with 15% margin)</t>
  </si>
  <si>
    <t xml:space="preserve">Water Buffer Tank Sizing   ·   water-storage:buffer-sizing</t>
  </si>
  <si>
    <t xml:space="preserve">Fresh Water Storage</t>
  </si>
  <si>
    <t xml:space="preserve">(irrigation_demand - ro_production) * peak_duration * safety_factor</t>
  </si>
  <si>
    <t xml:space="preserve">  irrigation_demand</t>
  </si>
  <si>
    <t xml:space="preserve">  ro_production</t>
  </si>
  <si>
    <t xml:space="preserve">  peak_duration</t>
  </si>
  <si>
    <t xml:space="preserve">  safety_factor</t>
  </si>
  <si>
    <t xml:space="preserve">Total Drain Water Storage</t>
  </si>
  <si>
    <t xml:space="preserve">(irrigation_demand * drain_fraction) * peak_duration * safety_factor</t>
  </si>
  <si>
    <t xml:space="preserve">  drain_fraction</t>
  </si>
  <si>
    <t xml:space="preserve">Water Treatment RO Sizing   ·   water-treatment-ro:sizing</t>
  </si>
  <si>
    <t xml:space="preserve">Permeate flow rate</t>
  </si>
  <si>
    <t xml:space="preserve">q_permeate = daily_demand / op_hours</t>
  </si>
  <si>
    <t xml:space="preserve">  daily_demand</t>
  </si>
  <si>
    <t xml:space="preserve">L/day</t>
  </si>
  <si>
    <t xml:space="preserve">  op_hours</t>
  </si>
  <si>
    <t xml:space="preserve">h/day</t>
  </si>
  <si>
    <t xml:space="preserve">L/h</t>
  </si>
  <si>
    <t xml:space="preserve">daily_demand / op_hours</t>
  </si>
  <si>
    <t xml:space="preserve">system operates at constant flow rate during operating hours</t>
  </si>
  <si>
    <t xml:space="preserve">Feed flow rate (accounting for recovery losses)</t>
  </si>
  <si>
    <t xml:space="preserve">q_feed = q_permeate / recovery</t>
  </si>
  <si>
    <t xml:space="preserve">  q_permeate</t>
  </si>
  <si>
    <t xml:space="preserve">↳ chained from $B$436</t>
  </si>
  <si>
    <t xml:space="preserve">  recovery</t>
  </si>
  <si>
    <t xml:space="preserve">q_permeate / recovery</t>
  </si>
  <si>
    <t xml:space="preserve">recovery target 75.0% per input</t>
  </si>
  <si>
    <t xml:space="preserve">Reject (concentrate) flow rate</t>
  </si>
  <si>
    <t xml:space="preserve">q_reject = q_feed - q_permeate</t>
  </si>
  <si>
    <t xml:space="preserve">  q_feed</t>
  </si>
  <si>
    <t xml:space="preserve">↳ chained from $B$441</t>
  </si>
  <si>
    <t xml:space="preserve">q_feed - q_permeate</t>
  </si>
  <si>
    <t xml:space="preserve">mass balance: feed = permeate + reject</t>
  </si>
  <si>
    <t xml:space="preserve">Required membrane area</t>
  </si>
  <si>
    <t xml:space="preserve">mem_area = q_permeate / flux_lmh</t>
  </si>
  <si>
    <t xml:space="preserve">  flux_lmh</t>
  </si>
  <si>
    <t xml:space="preserve">L/m2/h</t>
  </si>
  <si>
    <t xml:space="preserve">q_permeate / flux_lmh</t>
  </si>
  <si>
    <t xml:space="preserve">flux 22.0 L/m2/h for bw30_brackish membrane (DOW FILMTEC technical manual)</t>
  </si>
  <si>
    <t xml:space="preserve">Hydraulic pump power</t>
  </si>
  <si>
    <t xml:space="preserve">hyd_power = (p_op x q_feed_m3h / 36) / pump_eff</t>
  </si>
  <si>
    <t xml:space="preserve">  p_op</t>
  </si>
  <si>
    <t xml:space="preserve">  q_feed_m3h</t>
  </si>
  <si>
    <t xml:space="preserve">(p_op x q_feed_m3h / 36) / pump_eff</t>
  </si>
  <si>
    <t xml:space="preserve">1 bar x 1 m3/h / 36 = 0.02778 kW hydraulic (unit conversion)</t>
  </si>
  <si>
    <t xml:space="preserve">Specific energy consumption</t>
  </si>
  <si>
    <t xml:space="preserve">energy = hyd_power / (q_permeate / 1000)</t>
  </si>
  <si>
    <t xml:space="preserve">  hyd_power</t>
  </si>
  <si>
    <t xml:space="preserve">↳ chained from $B$457</t>
  </si>
  <si>
    <t xml:space="preserve">kWh/m3</t>
  </si>
  <si>
    <t xml:space="preserve">hyd_power / (q_permeate / 1000)</t>
  </si>
  <si>
    <t xml:space="preserve">q_permeate converted L/h to m3/h by dividing 1000</t>
  </si>
  <si>
    <t xml:space="preserve">Inputs &amp; Assumptions — the economics model drivers</t>
  </si>
  <si>
    <t xml:space="preserve">EVERY yellow cell is editable. Engine-derived values are labelled 'from engine'; market defaults are grounded + cited in Basis. The Economics &amp; Scenarios tabs reference these cells with LIVE formulas — edit one driver and the whole model + every chart recomputes.</t>
  </si>
  <si>
    <t xml:space="preserve">Basis / source</t>
  </si>
  <si>
    <t xml:space="preserve">Output volume (output)</t>
  </si>
  <si>
    <t xml:space="preserve">from engine · primary output metric</t>
  </si>
  <si>
    <t xml:space="preserve">Sale price (per output unit)</t>
  </si>
  <si>
    <t xml:space="preserve">£/count</t>
  </si>
  <si>
    <t xml:space="preserve">UNVERIFIED — no per-unit market price is derivable for this class. Enter a real sale price to make the economics tabs meaningful; until then revenue / EBITDA / IRR are not valid.</t>
  </si>
  <si>
    <t xml:space="preserve">consumable classes derived from the plant's own process/media BoM + contract lines — what it ACTUALLY consumes (not a 'feedstock'); enter a real £ per output unit to price them (0 until priced — meanwhile carried inside 'Other opex')</t>
  </si>
  <si>
    <t xml:space="preserve">ratio</t>
  </si>
  <si>
    <t xml:space="preserve">consumable units per output unit (multiplies the consumables price above); 0 until priced</t>
  </si>
  <si>
    <t xml:space="preserve">£/kWh</t>
  </si>
  <si>
    <t xml:space="preserve">assumed — UK industrial electricity ~£0.15/kWh (edit to your tariff)</t>
  </si>
  <si>
    <t xml:space="preserve">Connected electrical load</t>
  </si>
  <si>
    <t xml:space="preserve">from engine · connected_electrical_load_kw</t>
  </si>
  <si>
    <t xml:space="preserve">Electrical load factor</t>
  </si>
  <si>
    <t xml:space="preserve">avg/peak</t>
  </si>
  <si>
    <t xml:space="preserve">assumed average/peak electrical load factor — supply a class duty-cycle to refine</t>
  </si>
  <si>
    <t xml:space="preserve">Operating hours</t>
  </si>
  <si>
    <t xml:space="preserve">assumed — typical process-plant annual operating hours (supply a class duty-cycle to refine)</t>
  </si>
  <si>
    <t xml:space="preserve">Design process flow (peak)</t>
  </si>
  <si>
    <t xml:space="preserve">from engine · largest process-flow quantity (the PEAK simultaneous demand); the Financial model's annual-delivered-volume divisor references this cell LIVE — edit it and the levelised £/m³ recomputes</t>
  </si>
  <si>
    <t xml:space="preserve">Water utilisation (delivered ÷ design flow)</t>
  </si>
  <si>
    <t xml:space="preserve">fraction</t>
  </si>
  <si>
    <t xml:space="preserve">multiplies the design flow above · assumed — the design flow is the PEAK simultaneous demand, so annual delivered volume = design flow × 8760 h × this factor. 0.25 models an intermittent, demand-driven duty (sequenced valve sections / batch draw-off deliver ≈25% of the peak run continuously); set ≈0.9 for a continuous process duty, or edit to metered annual demand ÷ (design flow × 8760). Drives the levelised £/m³ on the Financial model — the electrical load factor above sizes the ENERGY line only.</t>
  </si>
  <si>
    <t xml:space="preserve">assumed — supply a real figure. No operating headcount signal, so this is defaulted as an UNMANNED / skid plant: ~£25,000/yr for remote monitoring + periodic maintenance visits (NOT a % of capex). Enter your real annual labour cost, or supply an operating headcount.</t>
  </si>
  <si>
    <t xml:space="preserve">% capex/yr</t>
  </si>
  <si>
    <t xml:space="preserve">process-plant norm</t>
  </si>
  <si>
    <t xml:space="preserve">assumed — 2% of installed capex/yr (consumables, insurance, overhead; supply a class opex model to refine)</t>
  </si>
  <si>
    <t xml:space="preserve">Installed capex</t>
  </si>
  <si>
    <t xml:space="preserve">£</t>
  </si>
  <si>
    <t xml:space="preserve">from engine · costStack.installed_asp_gbp (BoM + assembly + install)</t>
  </si>
  <si>
    <t xml:space="preserve">Scaling exponent n  (capex ∝ output^n)</t>
  </si>
  <si>
    <t xml:space="preserve">n</t>
  </si>
  <si>
    <t xml:space="preserve">1.0 = LINEAR — a MODULAR plant scaled by replicating identical units (more tanks/pumps/skids); capex per output unit is constant, de-risked + testable at small scale (the Fractional Forge default for modular plant). 0.6 = the six-tenths law for MONOLITHIC equipment that scales by getting bigger. Edit to model either regime — every capex/economics cell on the sweep + solver recomputes live off this.</t>
  </si>
  <si>
    <t xml:space="preserve">Discount rate</t>
  </si>
  <si>
    <t xml:space="preserve">real WACC for a small infrastructure project</t>
  </si>
  <si>
    <t xml:space="preserve">Investor hurdle rate (IRR)</t>
  </si>
  <si>
    <t xml:space="preserve">the minimum IRR an investor demands before deploying capital — the 'investable' bar on the Investment Analysis tab; edit to your fund's threshold</t>
  </si>
  <si>
    <t xml:space="preserve">Project life</t>
  </si>
  <si>
    <t xml:space="preserve">asset economic life for the NPV horizon</t>
  </si>
  <si>
    <t xml:space="preserve">Part names — the master list</t>
  </si>
  <si>
    <t xml:space="preserve">THE single source of every part's name. Each name is typed ONCE here; every other tab (BoM, Cost, Spec sheets, Connection trace, schedules) REFERENCES these cells, never repeats the string — edit a name here and it updates across the whole workbook. Select a Name cell and use Formulas ▸ Trace Dependents to see everywhere it is used. One row per principal part; sub-components are listed under their parent on the BoM.</t>
  </si>
  <si>
    <t xml:space="preserve">Name</t>
  </si>
  <si>
    <t xml:space="preserve">Requirement (as stated)</t>
  </si>
  <si>
    <t xml:space="preserve">X-147</t>
  </si>
  <si>
    <t xml:space="preserve">D-101</t>
  </si>
  <si>
    <t xml:space="preserve">X-130</t>
  </si>
  <si>
    <t xml:space="preserve">X-149</t>
  </si>
  <si>
    <t xml:space="preserve">X-142</t>
  </si>
  <si>
    <t xml:space="preserve">X-112 / V-111</t>
  </si>
  <si>
    <t xml:space="preserve">Check Valve</t>
  </si>
  <si>
    <t xml:space="preserve">Check Valve  ·  MERGED ROWS (singular/plural): 'Check Valves' (X-112) + 'Check Valve' (V-111)</t>
  </si>
  <si>
    <t xml:space="preserve">I-109</t>
  </si>
  <si>
    <t xml:space="preserve">X-101</t>
  </si>
  <si>
    <t xml:space="preserve">X-146</t>
  </si>
  <si>
    <t xml:space="preserve">TK-102 / TK-101</t>
  </si>
  <si>
    <t xml:space="preserve">Cip Tank</t>
  </si>
  <si>
    <t xml:space="preserve">Cip Tank · 1.4 m dia x 1.3 m  ·  MERGED ROWS (synonym): 'Cleaning Tank' (TK-102) + 'Cip Tank' (TK-101)</t>
  </si>
  <si>
    <t xml:space="preserve">X-106 / X-110</t>
  </si>
  <si>
    <t xml:space="preserve">Circuit Breaker  ·  MERGED ROWS (singular/plural): 'Circuit Breakers' (X-106) + 'Circuit Breaker' (X-110)</t>
  </si>
  <si>
    <t xml:space="preserve">V-103</t>
  </si>
  <si>
    <t xml:space="preserve">Cloth Filter</t>
  </si>
  <si>
    <t xml:space="preserve">X-114</t>
  </si>
  <si>
    <t xml:space="preserve">X-103</t>
  </si>
  <si>
    <t xml:space="preserve">I-104</t>
  </si>
  <si>
    <t xml:space="preserve">U-201</t>
  </si>
  <si>
    <t xml:space="preserve">Control + Instrument UPS</t>
  </si>
  <si>
    <t xml:space="preserve">X-109</t>
  </si>
  <si>
    <t xml:space="preserve">X-120</t>
  </si>
  <si>
    <t xml:space="preserve">I-103</t>
  </si>
  <si>
    <t xml:space="preserve">M-101</t>
  </si>
  <si>
    <t xml:space="preserve">Distribution Manifold</t>
  </si>
  <si>
    <t xml:space="preserve">TK-114</t>
  </si>
  <si>
    <t xml:space="preserve">Drain Collection Sump</t>
  </si>
  <si>
    <t xml:space="preserve">P-104</t>
  </si>
  <si>
    <t xml:space="preserve">Drain Transfer Pump</t>
  </si>
  <si>
    <t xml:space="preserve">TK-106</t>
  </si>
  <si>
    <t xml:space="preserve">Drain Water Tank</t>
  </si>
  <si>
    <t xml:space="preserve">I-102</t>
  </si>
  <si>
    <t xml:space="preserve">X-105</t>
  </si>
  <si>
    <t xml:space="preserve">X-141 / X-144 / I-114</t>
  </si>
  <si>
    <t xml:space="preserve">Emergency Stop</t>
  </si>
  <si>
    <t xml:space="preserve">Emergency Stop  ·  MERGED ROWS (synonym): 'Emergency Stop Button' (X-141) + 'Emergency Stop' (X-144) + 'Emergency Stop Switch' (I-114)</t>
  </si>
  <si>
    <t xml:space="preserve">X-118</t>
  </si>
  <si>
    <t xml:space="preserve">P-106</t>
  </si>
  <si>
    <t xml:space="preserve">Fertigation Dosing Pump</t>
  </si>
  <si>
    <t xml:space="preserve">X-139</t>
  </si>
  <si>
    <t xml:space="preserve">X-128</t>
  </si>
  <si>
    <t xml:space="preserve">I-105 / X-131</t>
  </si>
  <si>
    <t xml:space="preserve">Flow Meter  ·  MERGED ROWS (singular/plural): 'Flow Meter' (I-105) + 'Flow Meters' (X-131)</t>
  </si>
  <si>
    <t xml:space="preserve">TK-108</t>
  </si>
  <si>
    <t xml:space="preserve">Fresh Water Tank</t>
  </si>
  <si>
    <t xml:space="preserve">V-101</t>
  </si>
  <si>
    <t xml:space="preserve">Gac Filter</t>
  </si>
  <si>
    <t xml:space="preserve">V-105</t>
  </si>
  <si>
    <t xml:space="preserve">Gac Softener</t>
  </si>
  <si>
    <t xml:space="preserve">F-3</t>
  </si>
  <si>
    <t xml:space="preserve">Grp Membrane Housings</t>
  </si>
  <si>
    <t xml:space="preserve">P-102</t>
  </si>
  <si>
    <t xml:space="preserve">Hand Watering Pump</t>
  </si>
  <si>
    <t xml:space="preserve">X-157</t>
  </si>
  <si>
    <t xml:space="preserve">Hand watering — ring main to both departments</t>
  </si>
  <si>
    <t xml:space="preserve">I-112</t>
  </si>
  <si>
    <t xml:space="preserve">X-121</t>
  </si>
  <si>
    <t xml:space="preserve">X-119</t>
  </si>
  <si>
    <t xml:space="preserve">X-113</t>
  </si>
  <si>
    <t xml:space="preserve">FCV-201–202</t>
  </si>
  <si>
    <t xml:space="preserve">Inlet Flow Control Valve</t>
  </si>
  <si>
    <t xml:space="preserve">Irrigation Pump</t>
  </si>
  <si>
    <t xml:space="preserve">X-150</t>
  </si>
  <si>
    <t xml:space="preserve">I-113</t>
  </si>
  <si>
    <t xml:space="preserve">LT-201–213</t>
  </si>
  <si>
    <t xml:space="preserve">Level Transmitter</t>
  </si>
  <si>
    <t xml:space="preserve">X-137</t>
  </si>
  <si>
    <t xml:space="preserve">I-111</t>
  </si>
  <si>
    <t xml:space="preserve">EP-101</t>
  </si>
  <si>
    <t xml:space="preserve">EP-102</t>
  </si>
  <si>
    <t xml:space="preserve">Mains Incomer</t>
  </si>
  <si>
    <t xml:space="preserve">V-108 / X-129</t>
  </si>
  <si>
    <t xml:space="preserve">Manual Ball Valve  ·  MERGED ROWS (singular/plural): 'Manual Ball Valve' (V-108) + 'Manual Ball Valves' (X-129)</t>
  </si>
  <si>
    <t xml:space="preserve">X-127</t>
  </si>
  <si>
    <t xml:space="preserve">X-117</t>
  </si>
  <si>
    <t xml:space="preserve">X-123</t>
  </si>
  <si>
    <t xml:space="preserve">X-148</t>
  </si>
  <si>
    <t xml:space="preserve">X-138</t>
  </si>
  <si>
    <t xml:space="preserve">EP-104</t>
  </si>
  <si>
    <t xml:space="preserve">X-145</t>
  </si>
  <si>
    <t xml:space="preserve">X-107</t>
  </si>
  <si>
    <t xml:space="preserve">TK-103</t>
  </si>
  <si>
    <t xml:space="preserve">Nutrient Tank</t>
  </si>
  <si>
    <t xml:space="preserve">I-107</t>
  </si>
  <si>
    <t xml:space="preserve">X-143</t>
  </si>
  <si>
    <t xml:space="preserve">X-140</t>
  </si>
  <si>
    <t xml:space="preserve">Painted Carbon Steel Skid Frame</t>
  </si>
  <si>
    <t xml:space="preserve">X-135</t>
  </si>
  <si>
    <t xml:space="preserve">Painted Steel Skid Frame</t>
  </si>
  <si>
    <t xml:space="preserve">X-104</t>
  </si>
  <si>
    <t xml:space="preserve">AT-201</t>
  </si>
  <si>
    <t xml:space="preserve">pH Analyser</t>
  </si>
  <si>
    <t xml:space="preserve">I-106</t>
  </si>
  <si>
    <t xml:space="preserve">X-102</t>
  </si>
  <si>
    <t xml:space="preserve">X-115 / X-122</t>
  </si>
  <si>
    <t xml:space="preserve">PLC Controller  ·  MERGED ROWS (synonym): 'PLC Controller' (X-115) + 'Siemens S7 1200 PLC' (X-122)</t>
  </si>
  <si>
    <t xml:space="preserve">X-126</t>
  </si>
  <si>
    <t xml:space="preserve">Pneumatic Actuators</t>
  </si>
  <si>
    <t xml:space="preserve">V-109</t>
  </si>
  <si>
    <t xml:space="preserve">V-110</t>
  </si>
  <si>
    <t xml:space="preserve">Pressure Relief Valve</t>
  </si>
  <si>
    <t xml:space="preserve">PT-201–217</t>
  </si>
  <si>
    <t xml:space="preserve">Pressure Transmitter</t>
  </si>
  <si>
    <t xml:space="preserve">Z-101</t>
  </si>
  <si>
    <t xml:space="preserve">Reverse Osmosis Skid</t>
  </si>
  <si>
    <t xml:space="preserve">P-101</t>
  </si>
  <si>
    <t xml:space="preserve">Ro High Pressure Pump</t>
  </si>
  <si>
    <t xml:space="preserve">F-1</t>
  </si>
  <si>
    <t xml:space="preserve">Ro Membrane Elements</t>
  </si>
  <si>
    <t xml:space="preserve">X-134</t>
  </si>
  <si>
    <t xml:space="preserve">EP-103</t>
  </si>
  <si>
    <t xml:space="preserve">SCADA / Plant Control System</t>
  </si>
  <si>
    <t xml:space="preserve">I-108</t>
  </si>
  <si>
    <t xml:space="preserve">V-106</t>
  </si>
  <si>
    <t xml:space="preserve">Softener Vessel</t>
  </si>
  <si>
    <t xml:space="preserve">X-125 / V-107</t>
  </si>
  <si>
    <t xml:space="preserve">Solenoid Valve</t>
  </si>
  <si>
    <t xml:space="preserve">Solenoid Valve  ·  MERGED ROWS (singular/plural): 'Solenoid Valves' (X-125) + 'Solenoid Valve' (V-107)</t>
  </si>
  <si>
    <t xml:space="preserve">X-136</t>
  </si>
  <si>
    <t xml:space="preserve">Sst304 Skid Frame</t>
  </si>
  <si>
    <t xml:space="preserve">Standby Diesel Generator</t>
  </si>
  <si>
    <t xml:space="preserve">I-110</t>
  </si>
  <si>
    <t xml:space="preserve">X-108 / X-111</t>
  </si>
  <si>
    <t xml:space="preserve">Terminal Block</t>
  </si>
  <si>
    <t xml:space="preserve">Terminal Block  ·  MERGED ROWS (singular/plural): 'Terminal Blocks' (X-108) + 'Terminal Block' (X-111)</t>
  </si>
  <si>
    <t xml:space="preserve">TX-101</t>
  </si>
  <si>
    <t xml:space="preserve">Transformer</t>
  </si>
  <si>
    <t xml:space="preserve">F-2</t>
  </si>
  <si>
    <t xml:space="preserve">Uf Membrane Bank</t>
  </si>
  <si>
    <t xml:space="preserve">Z-102</t>
  </si>
  <si>
    <t xml:space="preserve">Uf Module Bank</t>
  </si>
  <si>
    <t xml:space="preserve">Z-103</t>
  </si>
  <si>
    <t xml:space="preserve">Ultrafiltration Module</t>
  </si>
  <si>
    <t xml:space="preserve">V-102</t>
  </si>
  <si>
    <t xml:space="preserve">Uv Disinfection</t>
  </si>
  <si>
    <t xml:space="preserve">X-116</t>
  </si>
  <si>
    <t xml:space="preserve">INV-1</t>
  </si>
  <si>
    <t xml:space="preserve">X-151</t>
  </si>
  <si>
    <t xml:space="preserve">Zoned distribution — department delivery mains</t>
  </si>
  <si>
    <t xml:space="preserve">Glossary — abbreviations &amp; symbols</t>
  </si>
  <si>
    <t xml:space="preserve">Plain-English meaning of every abbreviation used on the schedule, drawing, bill-of-materials and cost tabs. Standard engineering nomenclature (British spelling); the same reference applies to any plant.</t>
  </si>
  <si>
    <t xml:space="preserve">Pipe sizes &amp; materials</t>
  </si>
  <si>
    <t xml:space="preserve">Diameter Nominal — the nominal bore size of a pipe / valve in millimetres (e.g. DN200 ≈ 200 mm bore). A size label, not the exact internal diameter.</t>
  </si>
  <si>
    <t xml:space="preserve">316L</t>
  </si>
  <si>
    <t xml:space="preserve">316L stainless steel — low-carbon austenitic stainless; the corrosion-resistant grade for process-water, oxidiser and hygienic duties.</t>
  </si>
  <si>
    <t xml:space="preserve">304 / 304L</t>
  </si>
  <si>
    <t xml:space="preserve">304 / 304L stainless steel — general-purpose austenitic stainless.</t>
  </si>
  <si>
    <t xml:space="preserve">DUPLEX</t>
  </si>
  <si>
    <t xml:space="preserve">Duplex stainless steel — high-strength, chloride-corrosion-resistant stainless for seawater / brackish duties.</t>
  </si>
  <si>
    <t xml:space="preserve">HDPE / PE100</t>
  </si>
  <si>
    <t xml:space="preserve">High-density polyethylene (PE100 grade) — tough, corrosion-free thermoplastic pipe for water / effluent at low pressure.</t>
  </si>
  <si>
    <t xml:space="preserve">FRP / GRP</t>
  </si>
  <si>
    <t xml:space="preserve">Fibre-reinforced plastic (glass-reinforced plastic) — moulded composite for tanks and vessels.</t>
  </si>
  <si>
    <t xml:space="preserve">PVC / uPVC</t>
  </si>
  <si>
    <t xml:space="preserve">Poly(vinyl chloride) pipe grades — low-cost drainage / cold-water pipe.</t>
  </si>
  <si>
    <t xml:space="preserve">Instrumentation (ISA tags)</t>
  </si>
  <si>
    <t xml:space="preserve">The instrument-tag convention to ISA-5.1 (International Society of Automation) — the letter code naming what an instrument measures and does.</t>
  </si>
  <si>
    <t xml:space="preserve">Level Transmitter — measures liquid level.</t>
  </si>
  <si>
    <t xml:space="preserve">Pressure Transmitter — measures pressure.</t>
  </si>
  <si>
    <t xml:space="preserve">Flow Transmitter — measures flow rate.</t>
  </si>
  <si>
    <t xml:space="preserve">Analyser Transmitter — measures a composition variable, e.g. dissolved oxygen, pH or redox.</t>
  </si>
  <si>
    <t xml:space="preserve">AT (pH) / AT (ORP)</t>
  </si>
  <si>
    <t xml:space="preserve">Analyser variant: pH, or oxidation-reduction (redox) potential.</t>
  </si>
  <si>
    <t xml:space="preserve">The standard analogue field-signal current loop (4 mA = zero, 20 mA = full scale).</t>
  </si>
  <si>
    <t xml:space="preserve">PLC / SCADA</t>
  </si>
  <si>
    <t xml:space="preserve">Programmable Logic Controller / Supervisory Control And Data Acquisition — the plant control system.</t>
  </si>
  <si>
    <t xml:space="preserve">Equipment &amp; package tags</t>
  </si>
  <si>
    <t xml:space="preserve">P (tag)</t>
  </si>
  <si>
    <t xml:space="preserve">Pump — equipment-tag letter (P-101, P-102 …).</t>
  </si>
  <si>
    <t xml:space="preserve">TK (tag)</t>
  </si>
  <si>
    <t xml:space="preserve">Tank — bulk liquid storage vessel (TK-101 …).</t>
  </si>
  <si>
    <t xml:space="preserve">V (tag)</t>
  </si>
  <si>
    <t xml:space="preserve">Vessel — pressure / process vessel, guard bed, filter housing (V-101 …).</t>
  </si>
  <si>
    <t xml:space="preserve">D (tag)</t>
  </si>
  <si>
    <t xml:space="preserve">Drum / separator — knock-out drum, decanter, three-phase separator (D-101 …). The tag scheme's separator letter.</t>
  </si>
  <si>
    <t xml:space="preserve">U (tag)</t>
  </si>
  <si>
    <t xml:space="preserve">Utility / package unit — a balance-of-plant utility supplied as one packaged item, e.g. an uninterruptible power supply (U-201 …).</t>
  </si>
  <si>
    <t xml:space="preserve">Z (tag)</t>
  </si>
  <si>
    <t xml:space="preserve">Packaged skid unit — a vendor skid delivered as one assembly, e.g. a reverse-osmosis or ultrafiltration skid (Z-101 …). Distinct from the HVAC zone identifiers Z-01, Z-02 … (see the HVAC group).</t>
  </si>
  <si>
    <t xml:space="preserve">EP (tag)</t>
  </si>
  <si>
    <t xml:space="preserve">Electrical panel — switchgear, motor-control-centre or control cabinet (EP-101 …).</t>
  </si>
  <si>
    <t xml:space="preserve">X (tag)</t>
  </si>
  <si>
    <t xml:space="preserve">General / unclassified equipment block (X-101 …).</t>
  </si>
  <si>
    <t xml:space="preserve">C (tag)</t>
  </si>
  <si>
    <t xml:space="preserve">Column / tower (C-101 …); on the bill of materials a C-numbered row (C01, C02 …) is a CONNECTION line — an interconnecting pipe or cable run.</t>
  </si>
  <si>
    <t xml:space="preserve">I (tag)</t>
  </si>
  <si>
    <t xml:space="preserve">Field instrument or in-line device (I-101 …).</t>
  </si>
  <si>
    <t xml:space="preserve">Valves &amp; safety</t>
  </si>
  <si>
    <t xml:space="preserve">Fail Closed — the valve drives to the CLOSED position on loss of signal, air or power.</t>
  </si>
  <si>
    <t xml:space="preserve">PSV / PRV</t>
  </si>
  <si>
    <t xml:space="preserve">Pressure Safety / Relief Valve — mechanical over-pressure protection.</t>
  </si>
  <si>
    <t xml:space="preserve">XV / SDV</t>
  </si>
  <si>
    <t xml:space="preserve">Shutdown / emergency-shutdown Valve — fast on/off safety isolation.</t>
  </si>
  <si>
    <t xml:space="preserve">PCV</t>
  </si>
  <si>
    <t xml:space="preserve">Pressure / Process Control Valve — a modulating control valve.</t>
  </si>
  <si>
    <t xml:space="preserve">HV</t>
  </si>
  <si>
    <t xml:space="preserve">Hand Valve — manual isolation.</t>
  </si>
  <si>
    <t xml:space="preserve">NRV / CV</t>
  </si>
  <si>
    <t xml:space="preserve">Non-Return Valve / Check Valve — prevents reverse flow.</t>
  </si>
  <si>
    <t xml:space="preserve">MCB</t>
  </si>
  <si>
    <t xml:space="preserve">Miniature Circuit Breaker.</t>
  </si>
  <si>
    <t xml:space="preserve">UPS</t>
  </si>
  <si>
    <t xml:space="preserve">Uninterruptible Power Supply — battery-backed supply for control / instruments.</t>
  </si>
  <si>
    <t xml:space="preserve">VSD / VFD</t>
  </si>
  <si>
    <t xml:space="preserve">Variable-Speed / Variable-Frequency Drive — controls motor speed.</t>
  </si>
  <si>
    <t xml:space="preserve">LV / HV</t>
  </si>
  <si>
    <t xml:space="preserve">Low Voltage / High Voltage.</t>
  </si>
  <si>
    <t xml:space="preserve">ΔU %</t>
  </si>
  <si>
    <t xml:space="preserve">Volt-drop percentage — the voltage lost along a cable run as a fraction of the supply voltage (kept within spec, typically ≤ 5 %).</t>
  </si>
  <si>
    <t xml:space="preserve">Heating, Ventilation &amp; Air-Conditioning.</t>
  </si>
  <si>
    <t xml:space="preserve">Bill-of-materials status codes</t>
  </si>
  <si>
    <t xml:space="preserve">BESPOKE</t>
  </si>
  <si>
    <t xml:space="preserve">Made-to-order item — fabricated / engineered to spec; no off-the-shelf part number.</t>
  </si>
  <si>
    <t xml:space="preserve">UTILITY</t>
  </si>
  <si>
    <t xml:space="preserve">A utility / commodity item (pipework, cable, civils) priced parametrically.</t>
  </si>
  <si>
    <t xml:space="preserve">SYSTEM</t>
  </si>
  <si>
    <t xml:space="preserve">A multi-part packaged system priced as one unit.</t>
  </si>
  <si>
    <t xml:space="preserve">INSTRUMENT</t>
  </si>
  <si>
    <t xml:space="preserve">A field-instrument line.</t>
  </si>
  <si>
    <t xml:space="preserve">Units</t>
  </si>
  <si>
    <t xml:space="preserve">Cubic metres per hour — volumetric flow.</t>
  </si>
  <si>
    <t xml:space="preserve">m³/s</t>
  </si>
  <si>
    <t xml:space="preserve">Cubic metres per second — volumetric flow.</t>
  </si>
  <si>
    <t xml:space="preserve">kW / kWh</t>
  </si>
  <si>
    <t xml:space="preserve">Kilowatt (power) / kilowatt-hour (energy).</t>
  </si>
  <si>
    <t xml:space="preserve">mg/L</t>
  </si>
  <si>
    <t xml:space="preserve">Milligrams per litre — concentration (e.g. dissolved oxygen).</t>
  </si>
  <si>
    <t xml:space="preserve">bar / barg</t>
  </si>
  <si>
    <t xml:space="preserve">Pressure / pressure gauge (above atmospheric).</t>
  </si>
  <si>
    <t xml:space="preserve">t/yr</t>
  </si>
  <si>
    <t xml:space="preserve">Tonnes per year — annual throughput.</t>
  </si>
  <si>
    <t xml:space="preserve">Audit data — the embedded operands behind the live verdict formulas</t>
  </si>
  <si>
    <t xml:space="preserve">Every check in this workbook is a LIVE formula. Where a check compares against data that lives outside the workbook (the single-line drawing, the engineering contract, a build-time classification), the compared value is EMBEDDED here with its provenance — so the workbook contains everything its own verdicts depend on, and the formula bar on any verdict cell shows exactly which operands it judges.</t>
  </si>
  <si>
    <t xml:space="preserve">Group</t>
  </si>
  <si>
    <t xml:space="preserve">Operand</t>
  </si>
  <si>
    <t xml:space="preserve">Provenance (where this value comes from)</t>
  </si>
  <si>
    <t xml:space="preserve">all-in cost — LLM verdict</t>
  </si>
  <si>
    <t xml:space="preserve">ok</t>
  </si>
  <si>
    <t xml:space="preserve">benchmarkDivergence.findings[].verdict (scripts/lib/benchmark-expectation.ts)</t>
  </si>
  <si>
    <t xml:space="preserve">output — irrigation_demand — LLM verdict</t>
  </si>
  <si>
    <t xml:space="preserve">warn</t>
  </si>
  <si>
    <t xml:space="preserve">output — ro_permeate_capacity — LLM verdict</t>
  </si>
  <si>
    <t xml:space="preserve">output — water_storage_capacity — LLM verdict</t>
  </si>
  <si>
    <t xml:space="preserve">output — actuated_valves — LLM verdict</t>
  </si>
  <si>
    <t xml:space="preserve">output — ro_recovery — LLM verdict</t>
  </si>
  <si>
    <t xml:space="preserve">volt-drop limit (%)</t>
  </si>
  <si>
    <t xml:space="preserve">the schedule's published ≤5% volt-drop band (BS 7671 §525 practice)</t>
  </si>
  <si>
    <t xml:space="preserve">MAIN DISTRIBUTION BOARD (TP&amp;N) — system voltage (V)</t>
  </si>
  <si>
    <t xml:space="preserve">panel-schedule.md '## MAIN DISTRIBUTION BOARD (TP&amp;N)' System field</t>
  </si>
  <si>
    <t xml:space="preserve">MAIN DISTRIBUTION BOARD (TP&amp;N) — pf·η denominator factor</t>
  </si>
  <si>
    <t xml:space="preserve">√3 for a 3-phase board, 1 for DC / single-phase (from the board's own System field)</t>
  </si>
  <si>
    <t xml:space="preserve">Main Switchboard — system voltage (V)</t>
  </si>
  <si>
    <t xml:space="preserve">panel-schedule.md '## Main Switchboard' System field</t>
  </si>
  <si>
    <t xml:space="preserve">Main Switchboard — pf·η denominator factor</t>
  </si>
  <si>
    <t xml:space="preserve">Electrical · reconciliation</t>
  </si>
  <si>
    <t xml:space="preserve">MAIN DISTRIBUTION BOARD (TP&amp;N) · [board reconciliation] — Σ-current/busbar ratio</t>
  </si>
  <si>
    <t xml:space="preserve">the schedule's own printed reconciliation line</t>
  </si>
  <si>
    <t xml:space="preserve">MAIN DISTRIBUTION BOARD (TP&amp;N) · [board reconciliation] — schedule's own verdict</t>
  </si>
  <si>
    <t xml:space="preserve">OK</t>
  </si>
  <si>
    <t xml:space="preserve">the schedule's printed OK/REVIEW verdict</t>
  </si>
  <si>
    <t xml:space="preserve">MAIN DISTRIBUTION BOARD (TP&amp;N) · [board reconciliation] — busbar rating</t>
  </si>
  <si>
    <t xml:space="preserve">panel-schedule.md board Field/Value table</t>
  </si>
  <si>
    <t xml:space="preserve">MAIN DISTRIBUTION BOARD (TP&amp;N) · [board reconciliation] — evidence</t>
  </si>
  <si>
    <t xml:space="preserve">build-computed reconciliation reasons ('' = clean)</t>
  </si>
  <si>
    <t xml:space="preserve">Main Switchboard · [board reconciliation] — Σ-current/busbar ratio</t>
  </si>
  <si>
    <t xml:space="preserve">Main Switchboard · [board reconciliation] — schedule's own verdict</t>
  </si>
  <si>
    <t xml:space="preserve">Main Switchboard · [board reconciliation] — busbar rating</t>
  </si>
  <si>
    <t xml:space="preserve">Main Switchboard · [board reconciliation] — evidence</t>
  </si>
  <si>
    <t xml:space="preserve">system voltage (V) — SCHEDULE</t>
  </si>
  <si>
    <t xml:space="preserve">400</t>
  </si>
  <si>
    <t xml:space="preserve">panel-schedule.md system line</t>
  </si>
  <si>
    <t xml:space="preserve">voltage tokens — DRAWING</t>
  </si>
  <si>
    <t xml:space="preserve">every 'N V' token on the single-line drawing</t>
  </si>
  <si>
    <t xml:space="preserve">schedule boards ABSENT from the single-line drawing</t>
  </si>
  <si>
    <t xml:space="preserve">panel-schedule.md board headings not found in the single-line-diagram.svg text (computed at build; '' = every board found)</t>
  </si>
  <si>
    <t xml:space="preserve">schedule boards (named)</t>
  </si>
  <si>
    <t xml:space="preserve">MAIN DISTRIBUTION BOARD (TP&amp;N), Main Switchboard</t>
  </si>
  <si>
    <t xml:space="preserve">panel-schedule.md '## &lt;board&gt;' headings</t>
  </si>
  <si>
    <t xml:space="preserve">transformer rating (kVA) — DRAWING</t>
  </si>
  <si>
    <t xml:space="preserve">read from drawings/single-line-diagram.svg (TX label text)</t>
  </si>
  <si>
    <t xml:space="preserve">transformer rating (kVA) — CONTRACT</t>
  </si>
  <si>
    <t xml:space="preserve">orchestratorContract.quantities transformer_kva / main_transformer_kva / transformer_rating_kva</t>
  </si>
</sst>
</file>

<file path=xl/styles.xml><?xml version="1.0" encoding="utf-8"?>
<styleSheet xmlns="http://schemas.openxmlformats.org/spreadsheetml/2006/main">
  <numFmts count="9">
    <numFmt numFmtId="164" formatCode="General"/>
    <numFmt numFmtId="165" formatCode="#,##0.##"/>
    <numFmt numFmtId="166" formatCode="#,##0"/>
    <numFmt numFmtId="167" formatCode="0.0\%"/>
    <numFmt numFmtId="168" formatCode="\£#,##0"/>
    <numFmt numFmtId="169" formatCode="#,##0.00"/>
    <numFmt numFmtId="170" formatCode="\£#,##0.00"/>
    <numFmt numFmtId="171" formatCode="#,##0.0"/>
    <numFmt numFmtId="172" formatCode="0.0%"/>
  </numFmts>
  <fonts count="36">
    <font>
      <sz val="11"/>
      <color theme="1"/>
      <name val="Calibri"/>
      <family val="2"/>
      <charset val="1"/>
    </font>
    <font>
      <sz val="10"/>
      <name val="Arial"/>
      <family val="0"/>
    </font>
    <font>
      <sz val="10"/>
      <name val="Arial"/>
      <family val="0"/>
    </font>
    <font>
      <sz val="10"/>
      <name val="Arial"/>
      <family val="0"/>
    </font>
    <font>
      <b val="true"/>
      <sz val="15"/>
      <color rgb="FFFFFFFF"/>
      <name val="Calibri"/>
      <family val="0"/>
      <charset val="1"/>
    </font>
    <font>
      <b val="true"/>
      <sz val="11"/>
      <color rgb="FF1F3A5F"/>
      <name val="Calibri"/>
      <family val="0"/>
      <charset val="1"/>
    </font>
    <font>
      <i val="true"/>
      <sz val="9"/>
      <color rgb="FF666666"/>
      <name val="Cambria"/>
      <family val="0"/>
      <charset val="1"/>
    </font>
    <font>
      <b val="true"/>
      <sz val="9"/>
      <color rgb="FF888888"/>
      <name val="Calibri"/>
      <family val="0"/>
      <charset val="1"/>
    </font>
    <font>
      <b val="true"/>
      <sz val="16"/>
      <color rgb="FF1F3A5F"/>
      <name val="Calibri"/>
      <family val="0"/>
      <charset val="1"/>
    </font>
    <font>
      <sz val="11"/>
      <color rgb="FF333333"/>
      <name val="Calibri"/>
      <family val="0"/>
      <charset val="1"/>
    </font>
    <font>
      <b val="true"/>
      <sz val="11"/>
      <color rgb="FFFFFFFF"/>
      <name val="Calibri"/>
      <family val="0"/>
      <charset val="1"/>
    </font>
    <font>
      <b val="true"/>
      <sz val="11"/>
      <color rgb="FF006100"/>
      <name val="Cambria"/>
      <family val="0"/>
      <charset val="1"/>
    </font>
    <font>
      <sz val="8"/>
      <color rgb="FF808080"/>
      <name val="Calibri"/>
      <family val="0"/>
      <charset val="1"/>
    </font>
    <font>
      <sz val="10"/>
      <color rgb="FF2E5A88"/>
      <name val="Menlo"/>
      <family val="0"/>
      <charset val="1"/>
    </font>
    <font>
      <b val="true"/>
      <u val="single"/>
      <sz val="11"/>
      <color rgb="FF1F3A5F"/>
      <name val="Calibri"/>
      <family val="0"/>
      <charset val="1"/>
    </font>
    <font>
      <sz val="11"/>
      <name val="Cambria"/>
      <family val="0"/>
      <charset val="1"/>
    </font>
    <font>
      <b val="true"/>
      <sz val="11"/>
      <name val="Cambria"/>
      <family val="0"/>
      <charset val="1"/>
    </font>
    <font>
      <i val="true"/>
      <sz val="9"/>
      <color rgb="FF555555"/>
      <name val="Cambria"/>
      <family val="0"/>
      <charset val="1"/>
    </font>
    <font>
      <sz val="9"/>
      <color rgb="FF555555"/>
      <name val="Cambria"/>
      <family val="0"/>
      <charset val="1"/>
    </font>
    <font>
      <b val="true"/>
      <sz val="11"/>
      <color rgb="FF9C0006"/>
      <name val="Cambria"/>
      <family val="0"/>
      <charset val="1"/>
    </font>
    <font>
      <b val="true"/>
      <sz val="12"/>
      <name val="Cambria"/>
      <family val="0"/>
      <charset val="1"/>
    </font>
    <font>
      <b val="true"/>
      <sz val="13"/>
      <color rgb="FFFFFFFF"/>
      <name val="Calibri"/>
      <family val="0"/>
      <charset val="1"/>
    </font>
    <font>
      <b val="true"/>
      <sz val="18"/>
      <color rgb="FF000000"/>
      <name val="Calibri"/>
      <family val="2"/>
    </font>
    <font>
      <sz val="10"/>
      <color rgb="FF000000"/>
      <name val="Calibri"/>
      <family val="2"/>
    </font>
    <font>
      <b val="true"/>
      <sz val="11"/>
      <color rgb="FF9C6500"/>
      <name val="Cambria"/>
      <family val="0"/>
      <charset val="1"/>
    </font>
    <font>
      <sz val="9"/>
      <color rgb="FF9C0006"/>
      <name val="Calibri"/>
      <family val="0"/>
      <charset val="1"/>
    </font>
    <font>
      <b val="true"/>
      <sz val="9"/>
      <color rgb="FF1F4E79"/>
      <name val="Cambria"/>
      <family val="0"/>
      <charset val="1"/>
    </font>
    <font>
      <b val="true"/>
      <sz val="11"/>
      <color rgb="FF1F3A5F"/>
      <name val="Cambria"/>
      <family val="0"/>
      <charset val="1"/>
    </font>
    <font>
      <b val="true"/>
      <sz val="11"/>
      <color rgb="FF9C2B2E"/>
      <name val="Cambria"/>
      <family val="0"/>
      <charset val="1"/>
    </font>
    <font>
      <b val="true"/>
      <sz val="10"/>
      <name val="Cambria"/>
      <family val="0"/>
      <charset val="1"/>
    </font>
    <font>
      <b val="true"/>
      <sz val="11"/>
      <color rgb="FF1F4E79"/>
      <name val="Cambria"/>
      <family val="0"/>
      <charset val="1"/>
    </font>
    <font>
      <b val="true"/>
      <sz val="11"/>
      <color rgb="FFFFFFFF"/>
      <name val="Cambria"/>
      <family val="0"/>
      <charset val="1"/>
    </font>
    <font>
      <b val="true"/>
      <sz val="11"/>
      <color rgb="FFC00000"/>
      <name val="Cambria"/>
      <family val="0"/>
      <charset val="1"/>
    </font>
    <font>
      <b val="true"/>
      <sz val="11"/>
      <color rgb="FF107C10"/>
      <name val="Cambria"/>
      <family val="0"/>
      <charset val="1"/>
    </font>
    <font>
      <sz val="10"/>
      <name val="Menlo"/>
      <family val="0"/>
      <charset val="1"/>
    </font>
    <font>
      <b val="true"/>
      <i val="true"/>
      <sz val="11"/>
      <color rgb="FF7F7F7F"/>
      <name val="Cambria"/>
      <family val="0"/>
      <charset val="1"/>
    </font>
  </fonts>
  <fills count="15">
    <fill>
      <patternFill patternType="none"/>
    </fill>
    <fill>
      <patternFill patternType="gray125"/>
    </fill>
    <fill>
      <patternFill patternType="solid">
        <fgColor rgb="FF2E5A88"/>
        <bgColor rgb="FF2F5597"/>
      </patternFill>
    </fill>
    <fill>
      <patternFill patternType="solid">
        <fgColor rgb="FFC6EFCE"/>
        <bgColor rgb="FFD9EAD3"/>
      </patternFill>
    </fill>
    <fill>
      <patternFill patternType="solid">
        <fgColor rgb="FFDCE6F1"/>
        <bgColor rgb="FFD9EAD3"/>
      </patternFill>
    </fill>
    <fill>
      <patternFill patternType="solid">
        <fgColor rgb="FF1F3A5F"/>
        <bgColor rgb="FF1F4E79"/>
      </patternFill>
    </fill>
    <fill>
      <patternFill patternType="solid">
        <fgColor rgb="FFFFF2CC"/>
        <bgColor rgb="FFFCE5CD"/>
      </patternFill>
    </fill>
    <fill>
      <patternFill patternType="solid">
        <fgColor rgb="FFE2EFDA"/>
        <bgColor rgb="FFD9EAD3"/>
      </patternFill>
    </fill>
    <fill>
      <patternFill patternType="solid">
        <fgColor rgb="FFFFC7CE"/>
        <bgColor rgb="FFFCE4D6"/>
      </patternFill>
    </fill>
    <fill>
      <patternFill patternType="solid">
        <fgColor rgb="FFFCE4D6"/>
        <bgColor rgb="FFFCE5CD"/>
      </patternFill>
    </fill>
    <fill>
      <patternFill patternType="solid">
        <fgColor rgb="FFFCE5CD"/>
        <bgColor rgb="FFFCE4D6"/>
      </patternFill>
    </fill>
    <fill>
      <patternFill patternType="solid">
        <fgColor rgb="FFD9EAD3"/>
        <bgColor rgb="FFE2EFDA"/>
      </patternFill>
    </fill>
    <fill>
      <patternFill patternType="solid">
        <fgColor rgb="FFF2F2F2"/>
        <bgColor rgb="FFE2EFDA"/>
      </patternFill>
    </fill>
    <fill>
      <patternFill patternType="solid">
        <fgColor rgb="FFC00000"/>
        <bgColor rgb="FF9C0006"/>
      </patternFill>
    </fill>
    <fill>
      <patternFill patternType="solid">
        <fgColor rgb="FF107C10"/>
        <bgColor rgb="FF006100"/>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5" fillId="3" borderId="0" xfId="0" applyFont="true" applyBorder="true" applyAlignment="true" applyProtection="false">
      <alignment horizontal="left" vertical="top" textRotation="0" wrapText="false" indent="0" shrinkToFit="false"/>
      <protection locked="true" hidden="false"/>
    </xf>
    <xf numFmtId="164" fontId="6" fillId="0" borderId="0" xfId="0" applyFont="true" applyBorder="true" applyAlignment="true" applyProtection="false">
      <alignment horizontal="left"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5" fillId="4" borderId="0" xfId="0" applyFont="true" applyBorder="true" applyAlignment="true" applyProtection="false">
      <alignment horizontal="left" vertical="top" textRotation="0" wrapText="false" indent="0" shrinkToFit="false"/>
      <protection locked="true" hidden="false"/>
    </xf>
    <xf numFmtId="164" fontId="10" fillId="5" borderId="1"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5" fontId="0" fillId="6" borderId="1" xfId="0" applyFont="false" applyBorder="true" applyAlignment="false" applyProtection="false">
      <alignment horizontal="general" vertical="bottom" textRotation="0" wrapText="false" indent="0" shrinkToFit="false"/>
      <protection locked="true" hidden="false"/>
    </xf>
    <xf numFmtId="165" fontId="0" fillId="7" borderId="1" xfId="0" applyFont="false" applyBorder="true" applyAlignment="false" applyProtection="false">
      <alignment horizontal="general" vertical="bottom" textRotation="0" wrapText="false" indent="0" shrinkToFit="false"/>
      <protection locked="true" hidden="false"/>
    </xf>
    <xf numFmtId="164" fontId="11" fillId="3"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12"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right" vertical="center" textRotation="0" wrapText="false" indent="0" shrinkToFit="false"/>
      <protection locked="true" hidden="false"/>
    </xf>
    <xf numFmtId="164" fontId="11" fillId="3" borderId="0" xfId="0" applyFont="true" applyBorder="true" applyAlignment="true" applyProtection="false">
      <alignment horizontal="left" vertical="top"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8" fontId="0" fillId="6" borderId="1" xfId="0" applyFont="false" applyBorder="true" applyAlignment="false" applyProtection="false">
      <alignment horizontal="general" vertical="bottom" textRotation="0" wrapText="false" indent="0" shrinkToFit="false"/>
      <protection locked="true" hidden="false"/>
    </xf>
    <xf numFmtId="168" fontId="0" fillId="7" borderId="1" xfId="0" applyFont="fals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9" fontId="0" fillId="6" borderId="1"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8" fontId="16" fillId="7"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6" fontId="16" fillId="0" borderId="0" xfId="0" applyFont="true" applyBorder="false" applyAlignment="false" applyProtection="false">
      <alignment horizontal="general" vertical="bottom" textRotation="0" wrapText="false" indent="0" shrinkToFit="false"/>
      <protection locked="true" hidden="false"/>
    </xf>
    <xf numFmtId="170" fontId="1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71" fontId="0" fillId="7" borderId="0" xfId="0" applyFont="false" applyBorder="false" applyAlignment="false" applyProtection="false">
      <alignment horizontal="general" vertical="bottom" textRotation="0" wrapText="false" indent="0" shrinkToFit="false"/>
      <protection locked="true" hidden="false"/>
    </xf>
    <xf numFmtId="168" fontId="0" fillId="7" borderId="0" xfId="0" applyFont="false" applyBorder="false" applyAlignment="false" applyProtection="false">
      <alignment horizontal="general" vertical="bottom" textRotation="0" wrapText="false" indent="0" shrinkToFit="false"/>
      <protection locked="true" hidden="false"/>
    </xf>
    <xf numFmtId="170" fontId="0" fillId="7" borderId="0" xfId="0" applyFont="false" applyBorder="false" applyAlignment="false" applyProtection="false">
      <alignment horizontal="general" vertical="bottom" textRotation="0" wrapText="false" indent="0" shrinkToFit="false"/>
      <protection locked="true" hidden="false"/>
    </xf>
    <xf numFmtId="164" fontId="0" fillId="7"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19" fillId="8" borderId="0" xfId="0" applyFont="true" applyBorder="true" applyAlignment="true" applyProtection="false">
      <alignment horizontal="general" vertical="top" textRotation="0" wrapText="true" indent="0" shrinkToFit="false"/>
      <protection locked="true" hidden="false"/>
    </xf>
    <xf numFmtId="168" fontId="0" fillId="9" borderId="1" xfId="0" applyFont="false" applyBorder="true" applyAlignment="false" applyProtection="false">
      <alignment horizontal="general" vertical="bottom" textRotation="0" wrapText="false" indent="0" shrinkToFit="false"/>
      <protection locked="true" hidden="false"/>
    </xf>
    <xf numFmtId="172" fontId="0" fillId="7" borderId="1" xfId="0" applyFont="false" applyBorder="true" applyAlignment="false" applyProtection="false">
      <alignment horizontal="general" vertical="bottom" textRotation="0" wrapText="false" indent="0" shrinkToFit="false"/>
      <protection locked="true" hidden="false"/>
    </xf>
    <xf numFmtId="171" fontId="0" fillId="7" borderId="1" xfId="0" applyFont="false" applyBorder="true" applyAlignment="false" applyProtection="false">
      <alignment horizontal="general" vertical="bottom" textRotation="0" wrapText="false" indent="0" shrinkToFit="false"/>
      <protection locked="true" hidden="false"/>
    </xf>
    <xf numFmtId="172" fontId="0" fillId="0" borderId="1" xfId="0" applyFont="false" applyBorder="true" applyAlignment="false" applyProtection="false">
      <alignment horizontal="general" vertical="bottom" textRotation="0" wrapText="false" indent="0" shrinkToFit="false"/>
      <protection locked="true" hidden="false"/>
    </xf>
    <xf numFmtId="171" fontId="0" fillId="6" borderId="1" xfId="0" applyFont="false" applyBorder="true" applyAlignment="false" applyProtection="false">
      <alignment horizontal="general" vertical="bottom" textRotation="0" wrapText="false" indent="0" shrinkToFit="false"/>
      <protection locked="true" hidden="false"/>
    </xf>
    <xf numFmtId="171" fontId="0" fillId="0" borderId="1" xfId="0" applyFont="false" applyBorder="true" applyAlignment="false" applyProtection="false">
      <alignment horizontal="general" vertical="bottom" textRotation="0" wrapText="false" indent="0" shrinkToFit="false"/>
      <protection locked="true" hidden="false"/>
    </xf>
    <xf numFmtId="170" fontId="0" fillId="0" borderId="1" xfId="0" applyFont="false" applyBorder="true" applyAlignment="false" applyProtection="false">
      <alignment horizontal="general" vertical="bottom" textRotation="0" wrapText="false" indent="0" shrinkToFit="false"/>
      <protection locked="true" hidden="false"/>
    </xf>
    <xf numFmtId="171" fontId="20" fillId="7" borderId="1" xfId="0" applyFont="true" applyBorder="true" applyAlignment="fals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top" textRotation="0" wrapText="true" indent="1" shrinkToFit="false"/>
      <protection locked="true" hidden="false"/>
    </xf>
    <xf numFmtId="164" fontId="5" fillId="9" borderId="0" xfId="0" applyFont="true" applyBorder="true" applyAlignment="true" applyProtection="false">
      <alignment horizontal="general" vertical="top" textRotation="0" wrapText="true" indent="1" shrinkToFit="false"/>
      <protection locked="true" hidden="false"/>
    </xf>
    <xf numFmtId="171" fontId="0" fillId="9" borderId="1"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top" textRotation="0" wrapText="true" indent="1"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12" fillId="5" borderId="1" xfId="0" applyFont="true" applyBorder="true" applyAlignment="true" applyProtection="false">
      <alignment horizontal="general" vertical="center"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11" fillId="3" borderId="1" xfId="0" applyFont="true" applyBorder="true" applyAlignment="true" applyProtection="false">
      <alignment horizontal="general" vertical="top" textRotation="0" wrapText="true" indent="0" shrinkToFit="false"/>
      <protection locked="true" hidden="false"/>
    </xf>
    <xf numFmtId="164" fontId="12" fillId="0" borderId="0" xfId="0" applyFont="true" applyBorder="false" applyAlignment="true" applyProtection="false">
      <alignment horizontal="general" vertical="top" textRotation="0" wrapText="true" indent="0" shrinkToFit="false"/>
      <protection locked="true" hidden="false"/>
    </xf>
    <xf numFmtId="164" fontId="24" fillId="6" borderId="1" xfId="0" applyFont="true" applyBorder="true" applyAlignment="true" applyProtection="false">
      <alignment horizontal="general" vertical="top" textRotation="0" wrapText="true" indent="0" shrinkToFit="false"/>
      <protection locked="true" hidden="false"/>
    </xf>
    <xf numFmtId="164" fontId="25" fillId="0" borderId="0" xfId="0" applyFont="true" applyBorder="false" applyAlignment="true" applyProtection="false">
      <alignment horizontal="left" vertical="top"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0" fillId="9" borderId="1" xfId="0" applyFont="false" applyBorder="true" applyAlignment="fals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left"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17" fillId="0" borderId="0" xfId="0" applyFont="true" applyBorder="true" applyAlignment="true" applyProtection="false">
      <alignment horizontal="general" vertical="top" textRotation="0" wrapText="true" indent="0" shrinkToFit="false"/>
      <protection locked="true" hidden="false"/>
    </xf>
    <xf numFmtId="164" fontId="26" fillId="0" borderId="0" xfId="0" applyFont="true" applyBorder="false" applyAlignment="true" applyProtection="false">
      <alignment horizontal="general" vertical="top" textRotation="0" wrapText="true" indent="0" shrinkToFit="false"/>
      <protection locked="true" hidden="false"/>
    </xf>
    <xf numFmtId="168" fontId="16" fillId="0" borderId="0" xfId="0" applyFont="true" applyBorder="false" applyAlignment="false" applyProtection="false">
      <alignment horizontal="general" vertical="bottom" textRotation="0" wrapText="fals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9" fontId="0" fillId="7" borderId="1" xfId="0" applyFont="false" applyBorder="true" applyAlignment="false" applyProtection="false">
      <alignment horizontal="general" vertical="bottom" textRotation="0" wrapText="false" indent="0" shrinkToFit="false"/>
      <protection locked="true" hidden="false"/>
    </xf>
    <xf numFmtId="166" fontId="0" fillId="7"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5" fillId="4"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0" fillId="5" borderId="1" xfId="0" applyFont="true" applyBorder="true" applyAlignment="false" applyProtection="false">
      <alignment horizontal="general" vertical="bottom"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19" fillId="8" borderId="1" xfId="0" applyFont="true" applyBorder="true" applyAlignment="true" applyProtection="false">
      <alignment horizontal="general" vertical="top" textRotation="0" wrapText="true" indent="0" shrinkToFit="false"/>
      <protection locked="true" hidden="false"/>
    </xf>
    <xf numFmtId="169" fontId="0" fillId="0" borderId="1" xfId="0" applyFont="false" applyBorder="true" applyAlignment="false" applyProtection="false">
      <alignment horizontal="general" vertical="bottom" textRotation="0" wrapText="false" indent="0" shrinkToFit="false"/>
      <protection locked="true" hidden="false"/>
    </xf>
    <xf numFmtId="164" fontId="11" fillId="3" borderId="1" xfId="0" applyFont="true" applyBorder="true" applyAlignment="true" applyProtection="false">
      <alignment horizontal="center" vertical="bottom" textRotation="0" wrapText="false" indent="0" shrinkToFit="false"/>
      <protection locked="true" hidden="false"/>
    </xf>
    <xf numFmtId="164" fontId="0" fillId="8" borderId="1" xfId="0" applyFont="true" applyBorder="true" applyAlignment="false" applyProtection="false">
      <alignment horizontal="general" vertical="bottom" textRotation="0" wrapText="false" indent="0" shrinkToFit="false"/>
      <protection locked="true" hidden="false"/>
    </xf>
    <xf numFmtId="171" fontId="0" fillId="8" borderId="1" xfId="0" applyFont="false" applyBorder="true" applyAlignment="false" applyProtection="false">
      <alignment horizontal="general" vertical="bottom" textRotation="0" wrapText="false" indent="0" shrinkToFit="false"/>
      <protection locked="true" hidden="false"/>
    </xf>
    <xf numFmtId="164" fontId="19" fillId="8" borderId="1" xfId="0" applyFont="true" applyBorder="true" applyAlignment="true" applyProtection="false">
      <alignment horizontal="center" vertical="bottom" textRotation="0" wrapText="false" indent="0" shrinkToFit="false"/>
      <protection locked="true" hidden="false"/>
    </xf>
    <xf numFmtId="168" fontId="0" fillId="8" borderId="1" xfId="0" applyFont="false" applyBorder="true" applyAlignment="false" applyProtection="false">
      <alignment horizontal="general" vertical="bottom" textRotation="0" wrapText="false" indent="0" shrinkToFit="false"/>
      <protection locked="true" hidden="false"/>
    </xf>
    <xf numFmtId="164" fontId="0" fillId="8" borderId="1" xfId="0" applyFont="true" applyBorder="true" applyAlignment="true" applyProtection="false">
      <alignment horizontal="general" vertical="top" textRotation="0" wrapText="true" indent="0" shrinkToFit="false"/>
      <protection locked="true" hidden="false"/>
    </xf>
    <xf numFmtId="164" fontId="19" fillId="8" borderId="0" xfId="0" applyFont="true" applyBorder="false" applyAlignment="true" applyProtection="false">
      <alignment horizontal="center" vertical="bottom" textRotation="0" wrapText="false" indent="0" shrinkToFit="false"/>
      <protection locked="true" hidden="false"/>
    </xf>
    <xf numFmtId="164" fontId="27" fillId="4" borderId="0"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0" fillId="10" borderId="1" xfId="0" applyFont="true" applyBorder="true" applyAlignment="true" applyProtection="false">
      <alignment horizontal="center" vertical="bottom" textRotation="0" wrapText="false" indent="0" shrinkToFit="false"/>
      <protection locked="true" hidden="false"/>
    </xf>
    <xf numFmtId="164" fontId="0" fillId="11" borderId="1" xfId="0" applyFont="true" applyBorder="true" applyAlignment="true" applyProtection="false">
      <alignment horizontal="center" vertical="bottom" textRotation="0" wrapText="false" indent="0" shrinkToFit="false"/>
      <protection locked="true" hidden="false"/>
    </xf>
    <xf numFmtId="164" fontId="5" fillId="1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29" fillId="0" borderId="1" xfId="0" applyFont="true" applyBorder="true" applyAlignment="true" applyProtection="false">
      <alignment horizontal="general" vertical="top" textRotation="0" wrapText="true" indent="0" shrinkToFit="false"/>
      <protection locked="true" hidden="false"/>
    </xf>
    <xf numFmtId="164" fontId="30" fillId="0" borderId="1" xfId="0" applyFont="true" applyBorder="tru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24" fillId="6"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top" textRotation="0" wrapText="tru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24" fillId="6" borderId="1" xfId="0" applyFont="true" applyBorder="true" applyAlignment="false" applyProtection="false">
      <alignment horizontal="general" vertical="bottom" textRotation="0" wrapText="false" indent="0" shrinkToFit="false"/>
      <protection locked="true" hidden="false"/>
    </xf>
    <xf numFmtId="164" fontId="6" fillId="12"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16" fillId="0" borderId="1" xfId="0" applyFont="true" applyBorder="true" applyAlignment="false" applyProtection="false">
      <alignment horizontal="general" vertical="bottom" textRotation="0" wrapText="false" indent="0" shrinkToFit="fals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4" fontId="31" fillId="13" borderId="0" xfId="0" applyFont="true" applyBorder="true" applyAlignment="true" applyProtection="false">
      <alignment horizontal="left" vertical="top" textRotation="0" wrapText="false" indent="0" shrinkToFit="false"/>
      <protection locked="true" hidden="false"/>
    </xf>
    <xf numFmtId="164" fontId="32" fillId="0" borderId="1" xfId="0" applyFont="true" applyBorder="true" applyAlignment="false" applyProtection="false">
      <alignment horizontal="general" vertical="bottom" textRotation="0" wrapText="false" indent="0" shrinkToFit="false"/>
      <protection locked="true" hidden="false"/>
    </xf>
    <xf numFmtId="164" fontId="33" fillId="0" borderId="1" xfId="0" applyFont="true" applyBorder="true" applyAlignment="false" applyProtection="false">
      <alignment horizontal="general" vertical="bottom" textRotation="0" wrapText="false" indent="0" shrinkToFit="false"/>
      <protection locked="true" hidden="false"/>
    </xf>
    <xf numFmtId="164" fontId="31" fillId="14" borderId="0" xfId="0" applyFont="true" applyBorder="true" applyAlignment="true" applyProtection="false">
      <alignment horizontal="left" vertical="top"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9" fontId="0" fillId="9" borderId="0" xfId="0" applyFont="false" applyBorder="false" applyAlignment="false" applyProtection="false">
      <alignment horizontal="general" vertical="bottom" textRotation="0" wrapText="false" indent="0" shrinkToFit="false"/>
      <protection locked="true" hidden="false"/>
    </xf>
    <xf numFmtId="169" fontId="0" fillId="6" borderId="0" xfId="0" applyFont="false" applyBorder="false" applyAlignment="false" applyProtection="false">
      <alignment horizontal="general" vertical="bottom" textRotation="0" wrapText="false" indent="0" shrinkToFit="false"/>
      <protection locked="true" hidden="false"/>
    </xf>
    <xf numFmtId="169" fontId="0" fillId="7"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35" fillId="0" borderId="0" xfId="0" applyFont="true" applyBorder="false" applyAlignment="false" applyProtection="false">
      <alignment horizontal="general" vertical="bottom" textRotation="0" wrapText="false" indent="0" shrinkToFit="false"/>
      <protection locked="true" hidden="false"/>
    </xf>
    <xf numFmtId="164" fontId="34" fillId="12"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top" textRotation="0" wrapText="true" indent="0" shrinkToFit="false"/>
      <protection locked="true" hidden="false"/>
    </xf>
    <xf numFmtId="170" fontId="0" fillId="6" borderId="1" xfId="0" applyFont="false" applyBorder="true" applyAlignment="false" applyProtection="false">
      <alignment horizontal="general" vertical="bottom" textRotation="0" wrapText="false" indent="0" shrinkToFit="false"/>
      <protection locked="true" hidden="false"/>
    </xf>
    <xf numFmtId="166" fontId="0" fillId="6" borderId="1"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0" fillId="9" borderId="1"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4">
    <dxf>
      <font>
        <b val="1"/>
        <color rgb="FF9C0006"/>
      </font>
      <fill>
        <patternFill>
          <bgColor rgb="FFFFC7CE"/>
        </patternFill>
      </fill>
    </dxf>
    <dxf>
      <font>
        <b val="1"/>
        <color rgb="FF006100"/>
      </font>
      <fill>
        <patternFill>
          <bgColor rgb="FFC6EFCE"/>
        </patternFill>
      </fill>
    </dxf>
    <dxf>
      <fill>
        <patternFill patternType="solid">
          <fgColor rgb="FF1F3A5F"/>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666666"/>
          <bgColor rgb="FF000000"/>
        </patternFill>
      </fill>
    </dxf>
    <dxf>
      <fill>
        <patternFill patternType="solid">
          <fgColor rgb="FFFFF2CC"/>
          <bgColor rgb="FF000000"/>
        </patternFill>
      </fill>
    </dxf>
    <dxf>
      <fill>
        <patternFill patternType="solid">
          <fgColor rgb="FF9C6500"/>
          <bgColor rgb="FF000000"/>
        </patternFill>
      </fill>
    </dxf>
    <dxf>
      <fill>
        <patternFill patternType="solid">
          <fgColor rgb="FFC6EFCE"/>
          <bgColor rgb="FF000000"/>
        </patternFill>
      </fill>
    </dxf>
    <dxf>
      <fill>
        <patternFill patternType="solid">
          <fgColor rgb="FF006100"/>
          <bgColor rgb="FF000000"/>
        </patternFill>
      </fill>
    </dxf>
    <dxf>
      <fill>
        <patternFill patternType="solid">
          <fgColor rgb="FFD9EAD3"/>
          <bgColor rgb="FF000000"/>
        </patternFill>
      </fill>
    </dxf>
    <dxf>
      <fill>
        <patternFill patternType="solid">
          <fgColor rgb="FFFCE5CD"/>
          <bgColor rgb="FF000000"/>
        </patternFill>
      </fill>
    </dxf>
    <dxf>
      <fill>
        <patternFill patternType="solid">
          <fgColor rgb="FF808080"/>
          <bgColor rgb="FF000000"/>
        </patternFill>
      </fill>
    </dxf>
  </dxfs>
  <colors>
    <indexedColors>
      <rgbColor rgb="FF000000"/>
      <rgbColor rgb="FFFFFFFF"/>
      <rgbColor rgb="FFC00000"/>
      <rgbColor rgb="FF00FF00"/>
      <rgbColor rgb="FF0000FF"/>
      <rgbColor rgb="FFF2F2F2"/>
      <rgbColor rgb="FFFF00FF"/>
      <rgbColor rgb="FF00FFFF"/>
      <rgbColor rgb="FF9C0006"/>
      <rgbColor rgb="FF107C10"/>
      <rgbColor rgb="FF000080"/>
      <rgbColor rgb="FF9C6500"/>
      <rgbColor rgb="FF800080"/>
      <rgbColor rgb="FF2E5A88"/>
      <rgbColor rgb="FFBFBFBF"/>
      <rgbColor rgb="FF808080"/>
      <rgbColor rgb="FF878787"/>
      <rgbColor rgb="FFC0392B"/>
      <rgbColor rgb="FFFFF2CC"/>
      <rgbColor rgb="FFE2EFDA"/>
      <rgbColor rgb="FF666666"/>
      <rgbColor rgb="FFFF8080"/>
      <rgbColor rgb="FF2F5597"/>
      <rgbColor rgb="FFD9D9D9"/>
      <rgbColor rgb="FF000080"/>
      <rgbColor rgb="FFFF00FF"/>
      <rgbColor rgb="FFFFFF00"/>
      <rgbColor rgb="FF00FFFF"/>
      <rgbColor rgb="FF800080"/>
      <rgbColor rgb="FF800000"/>
      <rgbColor rgb="FF1F4E79"/>
      <rgbColor rgb="FF0000FF"/>
      <rgbColor rgb="FF00CCFF"/>
      <rgbColor rgb="FFDCE6F1"/>
      <rgbColor rgb="FFC6EFCE"/>
      <rgbColor rgb="FFFCE5CD"/>
      <rgbColor rgb="FFD9EAD3"/>
      <rgbColor rgb="FFFCE4D6"/>
      <rgbColor rgb="FF7F7F7F"/>
      <rgbColor rgb="FFFFC7CE"/>
      <rgbColor rgb="FF4F81BD"/>
      <rgbColor rgb="FF4BACC6"/>
      <rgbColor rgb="FF9BBB59"/>
      <rgbColor rgb="FFFFCC00"/>
      <rgbColor rgb="FFFF9900"/>
      <rgbColor rgb="FFC55A11"/>
      <rgbColor rgb="FF8064A2"/>
      <rgbColor rgb="FF888888"/>
      <rgbColor rgb="FF1F3A5F"/>
      <rgbColor rgb="FF548235"/>
      <rgbColor rgb="FF006100"/>
      <rgbColor rgb="FF555555"/>
      <rgbColor rgb="FF9C2B2E"/>
      <rgbColor rgb="FFC0504D"/>
      <rgbColor rgb="FF2F5496"/>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microsoft.com/office/2011/relationships/chartStyle" Target="style1.xml"/><Relationship Id="rId2" Type="http://schemas.microsoft.com/office/2011/relationships/chartColorStyle" Target="colors1.xml"/>
</Relationships>
</file>

<file path=xl/charts/_rels/chart10.xml.rels><?xml version="1.0" encoding="UTF-8"?>
<Relationships xmlns="http://schemas.openxmlformats.org/package/2006/relationships"><Relationship Id="rId1" Type="http://schemas.microsoft.com/office/2011/relationships/chartStyle" Target="style10.xml"/><Relationship Id="rId2" Type="http://schemas.microsoft.com/office/2011/relationships/chartColorStyle" Target="colors10.xml"/>
</Relationships>
</file>

<file path=xl/charts/_rels/chart2.xml.rels><?xml version="1.0" encoding="UTF-8"?>
<Relationships xmlns="http://schemas.openxmlformats.org/package/2006/relationships"><Relationship Id="rId1" Type="http://schemas.microsoft.com/office/2011/relationships/chartStyle" Target="style2.xml"/><Relationship Id="rId2" Type="http://schemas.microsoft.com/office/2011/relationships/chartColorStyle" Target="colors2.xml"/>
</Relationships>
</file>

<file path=xl/charts/_rels/chart3.xml.rels><?xml version="1.0" encoding="UTF-8"?>
<Relationships xmlns="http://schemas.openxmlformats.org/package/2006/relationships"><Relationship Id="rId1" Type="http://schemas.microsoft.com/office/2011/relationships/chartStyle" Target="style3.xml"/><Relationship Id="rId2" Type="http://schemas.microsoft.com/office/2011/relationships/chartColorStyle" Target="colors3.xml"/>
</Relationships>
</file>

<file path=xl/charts/_rels/chart4.xml.rels><?xml version="1.0" encoding="UTF-8"?>
<Relationships xmlns="http://schemas.openxmlformats.org/package/2006/relationships"><Relationship Id="rId1" Type="http://schemas.microsoft.com/office/2011/relationships/chartStyle" Target="style4.xml"/><Relationship Id="rId2" Type="http://schemas.microsoft.com/office/2011/relationships/chartColorStyle" Target="colors4.xml"/>
</Relationships>
</file>

<file path=xl/charts/_rels/chart5.xml.rels><?xml version="1.0" encoding="UTF-8"?>
<Relationships xmlns="http://schemas.openxmlformats.org/package/2006/relationships"><Relationship Id="rId1" Type="http://schemas.microsoft.com/office/2011/relationships/chartStyle" Target="style5.xml"/><Relationship Id="rId2" Type="http://schemas.microsoft.com/office/2011/relationships/chartColorStyle" Target="colors5.xml"/>
</Relationships>
</file>

<file path=xl/charts/_rels/chart6.xml.rels><?xml version="1.0" encoding="UTF-8"?>
<Relationships xmlns="http://schemas.openxmlformats.org/package/2006/relationships"><Relationship Id="rId1" Type="http://schemas.microsoft.com/office/2011/relationships/chartStyle" Target="style6.xml"/><Relationship Id="rId2" Type="http://schemas.microsoft.com/office/2011/relationships/chartColorStyle" Target="colors6.xml"/>
</Relationships>
</file>

<file path=xl/charts/_rels/chart7.xml.rels><?xml version="1.0" encoding="UTF-8"?>
<Relationships xmlns="http://schemas.openxmlformats.org/package/2006/relationships"><Relationship Id="rId1" Type="http://schemas.microsoft.com/office/2011/relationships/chartStyle" Target="style7.xml"/><Relationship Id="rId2" Type="http://schemas.microsoft.com/office/2011/relationships/chartColorStyle" Target="colors7.xml"/>
</Relationships>
</file>

<file path=xl/charts/_rels/chart8.xml.rels><?xml version="1.0" encoding="UTF-8"?>
<Relationships xmlns="http://schemas.openxmlformats.org/package/2006/relationships"><Relationship Id="rId1" Type="http://schemas.microsoft.com/office/2011/relationships/chartStyle" Target="style8.xml"/><Relationship Id="rId2" Type="http://schemas.microsoft.com/office/2011/relationships/chartColorStyle" Target="colors8.xml"/>
</Relationships>
</file>

<file path=xl/charts/_rels/chart9.xml.rels><?xml version="1.0" encoding="UTF-8"?>
<Relationships xmlns="http://schemas.openxmlformats.org/package/2006/relationships"><Relationship Id="rId1" Type="http://schemas.microsoft.com/office/2011/relationships/chartStyle" Target="style9.xml"/><Relationship Id="rId2" Type="http://schemas.microsoft.com/office/2011/relationships/chartColorStyle" Target="colors9.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£/m³/yr vs output — the sweet-spot curve</a:t>
            </a:r>
          </a:p>
        </c:rich>
      </c:tx>
      <c:overlay val="0"/>
      <c:spPr>
        <a:noFill/>
        <a:ln w="0">
          <a:noFill/>
        </a:ln>
      </c:spPr>
    </c:title>
    <c:autoTitleDeleted val="0"/>
    <c:plotArea>
      <c:lineChart>
        <c:grouping val="standard"/>
        <c:varyColors val="0"/>
        <c:ser>
          <c:idx val="0"/>
          <c:order val="0"/>
          <c:spPr>
            <a:solidFill>
              <a:srgbClr val="2F5496"/>
            </a:solidFill>
            <a:ln w="28080">
              <a:solidFill>
                <a:srgbClr val="2F5496"/>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28080">
                  <a:solidFill>
                    <a:srgbClr val="000000"/>
                  </a:solidFill>
                </a:ln>
              </c:spPr>
            </c:leaderLines>
            <c:extLst>
              <c:ext xmlns:c15="http://schemas.microsoft.com/office/drawing/2012/chart" uri="{CE6537A1-D6FC-4f65-9D91-7224C49458BB}">
                <c15:showLeaderLines val="1"/>
              </c:ext>
            </c:extLst>
          </c:dLbls>
          <c:cat>
            <c:strRef>
              <c:f>'Financial model'!$A$35:$A$47</c:f>
              <c:strCache>
                <c:ptCount val="13"/>
                <c:pt idx="0">
                  <c:v>90,000.0</c:v>
                </c:pt>
                <c:pt idx="1">
                  <c:v>113,392.9</c:v>
                </c:pt>
                <c:pt idx="2">
                  <c:v>142,866.1</c:v>
                </c:pt>
                <c:pt idx="3">
                  <c:v>180,000.0</c:v>
                </c:pt>
                <c:pt idx="4">
                  <c:v>226,785.8</c:v>
                </c:pt>
                <c:pt idx="5">
                  <c:v>285,732.2</c:v>
                </c:pt>
                <c:pt idx="6">
                  <c:v>360,000.0</c:v>
                </c:pt>
                <c:pt idx="7">
                  <c:v>453,571.6</c:v>
                </c:pt>
                <c:pt idx="8">
                  <c:v>571,464.4</c:v>
                </c:pt>
                <c:pt idx="9">
                  <c:v>720,000.0</c:v>
                </c:pt>
                <c:pt idx="10">
                  <c:v>907,143.2</c:v>
                </c:pt>
                <c:pt idx="11">
                  <c:v>1,142,928.8</c:v>
                </c:pt>
                <c:pt idx="12">
                  <c:v>1,440,000.0</c:v>
                </c:pt>
              </c:strCache>
            </c:strRef>
          </c:cat>
          <c:val>
            <c:numRef>
              <c:f>'Financial model'!$C$35:$C$47</c:f>
              <c:numCache>
                <c:formatCode>\£#,##0.00</c:formatCode>
                <c:ptCount val="13"/>
                <c:pt idx="0">
                  <c:v>2.80369708263701</c:v>
                </c:pt>
                <c:pt idx="1">
                  <c:v>2.58589522122577</c:v>
                </c:pt>
                <c:pt idx="2">
                  <c:v>2.38501303745303</c:v>
                </c:pt>
                <c:pt idx="3">
                  <c:v>2.19973614635651</c:v>
                </c:pt>
                <c:pt idx="4">
                  <c:v>2.02885226940094</c:v>
                </c:pt>
                <c:pt idx="5">
                  <c:v>1.87124330246207</c:v>
                </c:pt>
                <c:pt idx="6">
                  <c:v>1.725878</c:v>
                </c:pt>
                <c:pt idx="7">
                  <c:v>1.59180522755371</c:v>
                </c:pt>
                <c:pt idx="8">
                  <c:v>1.46814773840754</c:v>
                </c:pt>
                <c:pt idx="9">
                  <c:v>1.35409643370985</c:v>
                </c:pt>
                <c:pt idx="10">
                  <c:v>1.24890506848756</c:v>
                </c:pt>
                <c:pt idx="11">
                  <c:v>1.15188536891764</c:v>
                </c:pt>
                <c:pt idx="12">
                  <c:v>1.06240252890745</c:v>
                </c:pt>
              </c:numCache>
            </c:numRef>
          </c:val>
          <c:smooth val="0"/>
        </c:ser>
        <c:hiLowLines>
          <c:spPr>
            <a:ln w="0">
              <a:noFill/>
            </a:ln>
          </c:spPr>
        </c:hiLowLines>
        <c:marker val="0"/>
        <c:axId val="70000001"/>
        <c:axId val="70000002"/>
      </c:lineChart>
      <c:catAx>
        <c:axId val="70000001"/>
        <c:scaling>
          <c:orientation val="minMax"/>
        </c:scaling>
        <c:delete val="0"/>
        <c:axPos val="b"/>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2"/>
        <c:crosses val="autoZero"/>
        <c:auto val="1"/>
        <c:lblAlgn val="ctr"/>
        <c:lblOffset val="100"/>
        <c:noMultiLvlLbl val="0"/>
      </c:catAx>
      <c:valAx>
        <c:axId val="70000002"/>
        <c:scaling>
          <c:orientation val="minMax"/>
        </c:scaling>
        <c:delete val="0"/>
        <c:axPos val="l"/>
        <c:numFmt formatCode="\£#,##0.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1"/>
        <c:crosses val="autoZero"/>
        <c:crossBetween val="between"/>
      </c:valAx>
      <c:spPr>
        <a:solidFill>
          <a:srgbClr val="FFFFFF"/>
        </a:solidFill>
        <a:ln w="0">
          <a:noFill/>
        </a:ln>
      </c:spPr>
    </c:plotArea>
    <c:plotVisOnly val="1"/>
    <c:dispBlanksAs val="gap"/>
  </c:chart>
  <c:spPr>
    <a:solidFill>
      <a:srgbClr val="FFFFFF"/>
    </a:solidFill>
    <a:ln w="9360">
      <a:solidFill>
        <a:srgbClr val="D9D9D9"/>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EBITDA margin vs scale</a:t>
            </a:r>
          </a:p>
        </c:rich>
      </c:tx>
      <c:overlay val="0"/>
      <c:spPr>
        <a:noFill/>
        <a:ln w="0">
          <a:noFill/>
        </a:ln>
      </c:spPr>
    </c:title>
    <c:autoTitleDeleted val="0"/>
    <c:plotArea>
      <c:scatterChart>
        <c:scatterStyle val="line"/>
        <c:varyColors val="0"/>
        <c:ser>
          <c:idx val="0"/>
          <c:order val="0"/>
          <c:tx>
            <c:strRef>
              <c:f>"EBITDA margin"</c:f>
              <c:strCache>
                <c:ptCount val="1"/>
                <c:pt idx="0">
                  <c:v>EBITDA margin</c:v>
                </c:pt>
              </c:strCache>
            </c:strRef>
          </c:tx>
          <c:spPr>
            <a:solidFill>
              <a:srgbClr val="2F5496"/>
            </a:solidFill>
            <a:ln w="28080">
              <a:solidFill>
                <a:srgbClr val="2F5496"/>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28080">
                  <a:solidFill>
                    <a:srgbClr val="000000"/>
                  </a:solidFill>
                </a:ln>
              </c:spPr>
            </c:leaderLines>
            <c:extLst>
              <c:ext xmlns:c15="http://schemas.microsoft.com/office/drawing/2012/chart" uri="{CE6537A1-D6FC-4f65-9D91-7224C49458BB}">
                <c15:showLeaderLines val="1"/>
              </c:ext>
            </c:extLst>
          </c:dLbls>
          <c:xVal>
            <c:numRef>
              <c:f>'Financial model'!$I$222:$I$237</c:f>
              <c:numCache>
                <c:formatCode>#,##0.0</c:formatCode>
                <c:ptCount val="16"/>
                <c:pt idx="0">
                  <c:v>1200</c:v>
                </c:pt>
                <c:pt idx="1">
                  <c:v>1487.2269</c:v>
                </c:pt>
                <c:pt idx="2">
                  <c:v>1843.2033</c:v>
                </c:pt>
                <c:pt idx="3">
                  <c:v>2284.3847</c:v>
                </c:pt>
                <c:pt idx="4">
                  <c:v>2831.1654</c:v>
                </c:pt>
                <c:pt idx="5">
                  <c:v>3508.8213</c:v>
                </c:pt>
                <c:pt idx="6">
                  <c:v>4348.678</c:v>
                </c:pt>
                <c:pt idx="7">
                  <c:v>5389.5592</c:v>
                </c:pt>
                <c:pt idx="8">
                  <c:v>6679.5815</c:v>
                </c:pt>
                <c:pt idx="9">
                  <c:v>8278.378</c:v>
                </c:pt>
                <c:pt idx="10">
                  <c:v>10259.8557</c:v>
                </c:pt>
                <c:pt idx="11">
                  <c:v>12715.6116</c:v>
                </c:pt>
                <c:pt idx="12">
                  <c:v>15759.1668</c:v>
                </c:pt>
                <c:pt idx="13">
                  <c:v>19531.2147</c:v>
                </c:pt>
                <c:pt idx="14">
                  <c:v>24206.124</c:v>
                </c:pt>
                <c:pt idx="15">
                  <c:v>30000</c:v>
                </c:pt>
              </c:numCache>
            </c:numRef>
          </c:xVal>
          <c:yVal>
            <c:numRef>
              <c:f>'Financial model'!$O$222:$O$237</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ser>
        <c:axId val="70000001"/>
        <c:axId val="70000002"/>
      </c:scatterChart>
      <c:valAx>
        <c:axId val="70000001"/>
        <c:scaling>
          <c:orientation val="minMax"/>
        </c:scaling>
        <c:delete val="0"/>
        <c:axPos val="b"/>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2"/>
        <c:crosses val="autoZero"/>
        <c:crossBetween val="midCat"/>
      </c:valAx>
      <c:valAx>
        <c:axId val="70000002"/>
        <c:scaling>
          <c:orientation val="minMax"/>
        </c:scaling>
        <c:delete val="0"/>
        <c:axPos val="l"/>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1"/>
        <c:crosses val="autoZero"/>
        <c:crossBetween val="midCat"/>
      </c:valAx>
      <c:spPr>
        <a:solidFill>
          <a:srgbClr val="FFFFFF"/>
        </a:solid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Opex breakdown</a:t>
            </a:r>
          </a:p>
        </c:rich>
      </c:tx>
      <c:overlay val="0"/>
      <c:spPr>
        <a:noFill/>
        <a:ln w="0">
          <a:noFill/>
        </a:ln>
      </c:spPr>
    </c:title>
    <c:autoTitleDeleted val="0"/>
    <c:plotArea>
      <c:pieChart>
        <c:varyColors val="1"/>
        <c:ser>
          <c:idx val="0"/>
          <c:order val="0"/>
          <c:spPr>
            <a:solidFill>
              <a:srgbClr val="4F81BD"/>
            </a:solidFill>
            <a:ln w="12600">
              <a:noFill/>
            </a:ln>
          </c:spPr>
          <c:explosion val="0"/>
          <c:dPt>
            <c:idx val="0"/>
            <c:spPr>
              <a:solidFill>
                <a:srgbClr val="4F81BD"/>
              </a:solidFill>
              <a:ln w="12600">
                <a:noFill/>
              </a:ln>
            </c:spPr>
          </c:dPt>
          <c:dPt>
            <c:idx val="1"/>
            <c:spPr>
              <a:solidFill>
                <a:srgbClr val="C0504D"/>
              </a:solidFill>
              <a:ln w="12600">
                <a:noFill/>
              </a:ln>
            </c:spPr>
          </c:dPt>
          <c:dPt>
            <c:idx val="2"/>
            <c:spPr>
              <a:solidFill>
                <a:srgbClr val="9BBB59"/>
              </a:solidFill>
              <a:ln w="12600">
                <a:noFill/>
              </a:ln>
            </c:spPr>
          </c:dPt>
          <c:dPt>
            <c:idx val="3"/>
            <c:spPr>
              <a:solidFill>
                <a:srgbClr val="8064A2"/>
              </a:solidFill>
              <a:ln w="12600">
                <a:noFill/>
              </a:ln>
            </c:spPr>
          </c:dPt>
          <c:dPt>
            <c:idx val="4"/>
            <c:spPr>
              <a:solidFill>
                <a:srgbClr val="4BACC6"/>
              </a:solidFill>
              <a:ln w="12600">
                <a:noFill/>
              </a:ln>
            </c:spPr>
          </c:dPt>
          <c:dLbls>
            <c:dLbl>
              <c:idx val="0"/>
              <c:txPr>
                <a:bodyPr wrap="square"/>
                <a:lstStyle/>
                <a:p>
                  <a:pPr>
                    <a:defRPr sz="1000" b="0" u="none" strike="noStrike">
                      <a:solidFill>
                        <a:srgbClr val="000000"/>
                      </a:solidFill>
                      <a:uFillTx/>
                      <a:latin typeface="Calibri"/>
                    </a:defRPr>
                  </a:pPr>
                </a:p>
              </c:txPr>
              <c:dLblPos val="bestFit"/>
              <c:showLegendKey val="0"/>
              <c:showVal val="0"/>
              <c:showCatName val="0"/>
              <c:showSerName val="0"/>
              <c:showPercent val="1"/>
              <c:separator>
</c:separator>
            </c:dLbl>
            <c:dLbl>
              <c:idx val="1"/>
              <c:txPr>
                <a:bodyPr wrap="square"/>
                <a:lstStyle/>
                <a:p>
                  <a:pPr>
                    <a:defRPr sz="1000" b="0" u="none" strike="noStrike">
                      <a:solidFill>
                        <a:srgbClr val="000000"/>
                      </a:solidFill>
                      <a:uFillTx/>
                      <a:latin typeface="Calibri"/>
                    </a:defRPr>
                  </a:pPr>
                </a:p>
              </c:txPr>
              <c:dLblPos val="bestFit"/>
              <c:showLegendKey val="0"/>
              <c:showVal val="0"/>
              <c:showCatName val="0"/>
              <c:showSerName val="0"/>
              <c:showPercent val="1"/>
              <c:separator>
</c:separator>
            </c:dLbl>
            <c:dLbl>
              <c:idx val="2"/>
              <c:txPr>
                <a:bodyPr wrap="square"/>
                <a:lstStyle/>
                <a:p>
                  <a:pPr>
                    <a:defRPr sz="1000" b="0" u="none" strike="noStrike">
                      <a:solidFill>
                        <a:srgbClr val="000000"/>
                      </a:solidFill>
                      <a:uFillTx/>
                      <a:latin typeface="Calibri"/>
                    </a:defRPr>
                  </a:pPr>
                </a:p>
              </c:txPr>
              <c:dLblPos val="bestFit"/>
              <c:showLegendKey val="0"/>
              <c:showVal val="0"/>
              <c:showCatName val="0"/>
              <c:showSerName val="0"/>
              <c:showPercent val="1"/>
              <c:separator>
</c:separator>
            </c:dLbl>
            <c:dLbl>
              <c:idx val="3"/>
              <c:txPr>
                <a:bodyPr wrap="square"/>
                <a:lstStyle/>
                <a:p>
                  <a:pPr>
                    <a:defRPr sz="1000" b="0" u="none" strike="noStrike">
                      <a:solidFill>
                        <a:srgbClr val="000000"/>
                      </a:solidFill>
                      <a:uFillTx/>
                      <a:latin typeface="Calibri"/>
                    </a:defRPr>
                  </a:pPr>
                </a:p>
              </c:txPr>
              <c:dLblPos val="bestFit"/>
              <c:showLegendKey val="0"/>
              <c:showVal val="0"/>
              <c:showCatName val="0"/>
              <c:showSerName val="0"/>
              <c:showPercent val="1"/>
              <c:separator>
</c:separator>
            </c:dLbl>
            <c:dLbl>
              <c:idx val="4"/>
              <c:txPr>
                <a:bodyPr wrap="square"/>
                <a:lstStyle/>
                <a:p>
                  <a:pPr>
                    <a:defRPr sz="1000" b="0" u="none" strike="noStrike">
                      <a:solidFill>
                        <a:srgbClr val="000000"/>
                      </a:solidFill>
                      <a:uFillTx/>
                      <a:latin typeface="Calibri"/>
                    </a:defRPr>
                  </a:pPr>
                </a:p>
              </c:txPr>
              <c:dLblPos val="bestFit"/>
              <c:showLegendKey val="0"/>
              <c:showVal val="0"/>
              <c:showCatName val="0"/>
              <c:showSerName val="0"/>
              <c:showPercent val="1"/>
              <c:separator>
</c:separator>
            </c:dLbl>
            <c:txPr>
              <a:bodyPr wrap="square"/>
              <a:lstStyle/>
              <a:p>
                <a:pPr>
                  <a:defRPr sz="1000" b="0" u="none" strike="noStrike">
                    <a:solidFill>
                      <a:srgbClr val="000000"/>
                    </a:solidFill>
                    <a:uFillTx/>
                    <a:latin typeface="Calibri"/>
                  </a:defRPr>
                </a:pPr>
              </a:p>
            </c:txPr>
            <c:dLblPos val="bestFit"/>
            <c:showLegendKey val="0"/>
            <c:showVal val="0"/>
            <c:showCatName val="0"/>
            <c:showSerName val="0"/>
            <c:showPercent val="1"/>
            <c:separator>
</c:separator>
            <c:showLeaderLines val="1"/>
            <c:leaderLines>
              <c:spPr>
                <a:ln w="0">
                  <a:solidFill>
                    <a:srgbClr val="000000"/>
                  </a:solidFill>
                </a:ln>
              </c:spPr>
            </c:leaderLines>
          </c:dLbls>
          <c:cat>
            <c:strRef>
              <c:f>'Financial model'!$A$115:$A$119</c:f>
              <c:strCache>
                <c:ptCount val="5"/>
                <c:pt idx="0">
                  <c:v>Consumables — dosing chemicals · nutrient / fertiliser stock</c:v>
                </c:pt>
                <c:pt idx="1">
                  <c:v>Energy</c:v>
                </c:pt>
                <c:pt idx="2">
                  <c:v>Labour</c:v>
                </c:pt>
                <c:pt idx="3">
                  <c:v>Maintenance</c:v>
                </c:pt>
                <c:pt idx="4">
                  <c:v>Other</c:v>
                </c:pt>
              </c:strCache>
            </c:strRef>
          </c:cat>
          <c:val>
            <c:numRef>
              <c:f>'Financial model'!$B$115:$B$119</c:f>
              <c:numCache>
                <c:formatCode>\£#,##0</c:formatCode>
                <c:ptCount val="5"/>
                <c:pt idx="0">
                  <c:v>0</c:v>
                </c:pt>
                <c:pt idx="1">
                  <c:v>41340</c:v>
                </c:pt>
                <c:pt idx="2">
                  <c:v>25000</c:v>
                </c:pt>
                <c:pt idx="3">
                  <c:v>41253.15</c:v>
                </c:pt>
                <c:pt idx="4">
                  <c:v>27502</c:v>
                </c:pt>
              </c:numCache>
            </c:numRef>
          </c:val>
        </c:ser>
        <c:firstSliceAng val="0"/>
      </c:pieChart>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p>
      </c:txPr>
    </c:legend>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Revenue vs Opex vs EBITDA</a:t>
            </a:r>
          </a:p>
        </c:rich>
      </c:tx>
      <c:overlay val="0"/>
      <c:spPr>
        <a:noFill/>
        <a:ln w="0">
          <a:noFill/>
        </a:ln>
      </c:spPr>
    </c:title>
    <c:autoTitleDeleted val="0"/>
    <c:plotArea>
      <c:barChart>
        <c:barDir val="col"/>
        <c:grouping val="clustered"/>
        <c:varyColors val="0"/>
        <c:ser>
          <c:idx val="0"/>
          <c:order val="0"/>
          <c:spPr>
            <a:solidFill>
              <a:srgbClr val="2F5496"/>
            </a:solidFill>
            <a:ln w="28080">
              <a:solidFill>
                <a:srgbClr val="2F5496"/>
              </a:solidFill>
              <a:round/>
            </a:ln>
          </c:spPr>
          <c:invertIfNegative val="0"/>
          <c:dLbls>
            <c:txPr>
              <a:bodyPr wrap="square"/>
              <a:lstStyle/>
              <a:p>
                <a:pPr>
                  <a:defRPr sz="1000" b="0" u="none" strike="noStrike">
                    <a:solidFill>
                      <a:srgbClr val="000000"/>
                    </a:solidFill>
                    <a:uFillTx/>
                    <a:latin typeface="Calibri"/>
                  </a:defRPr>
                </a:pPr>
              </a:p>
            </c:txPr>
            <c:dLblPos val="outEnd"/>
            <c:showLegendKey val="0"/>
            <c:showVal val="1"/>
            <c:showCatName val="0"/>
            <c:showSerName val="0"/>
            <c:showPercent val="0"/>
            <c:separator>; </c:separator>
            <c:showLeaderLines val="1"/>
            <c:leaderLines>
              <c:spPr>
                <a:ln w="0">
                  <a:solidFill>
                    <a:srgbClr val="2F5496"/>
                  </a:solidFill>
                </a:ln>
              </c:spPr>
            </c:leaderLines>
            <c:extLst>
              <c:ext xmlns:c15="http://schemas.microsoft.com/office/drawing/2012/chart" uri="{CE6537A1-D6FC-4f65-9D91-7224C49458BB}">
                <c15:showLeaderLines val="1"/>
              </c:ext>
            </c:extLst>
          </c:dLbls>
          <c:cat>
            <c:strRef>
              <c:f>'Financial model'!$A$121:$A$123</c:f>
              <c:strCache>
                <c:ptCount val="3"/>
                <c:pt idx="0">
                  <c:v>Revenue</c:v>
                </c:pt>
                <c:pt idx="1">
                  <c:v>Total opex</c:v>
                </c:pt>
                <c:pt idx="2">
                  <c:v>EBITDA</c:v>
                </c:pt>
              </c:strCache>
            </c:strRef>
          </c:cat>
          <c:val>
            <c:numRef>
              <c:f>'Financial model'!$B$121:$B$123</c:f>
              <c:numCache>
                <c:formatCode>\£#,##0</c:formatCode>
                <c:ptCount val="3"/>
                <c:pt idx="0">
                  <c:v>0</c:v>
                </c:pt>
                <c:pt idx="1">
                  <c:v>135095.15</c:v>
                </c:pt>
                <c:pt idx="2">
                  <c:v>-135095.15</c:v>
                </c:pt>
              </c:numCache>
            </c:numRef>
          </c:val>
        </c:ser>
        <c:gapWidth val="150"/>
        <c:overlap val="0"/>
        <c:axId val="70000001"/>
        <c:axId val="70000002"/>
      </c:barChart>
      <c:catAx>
        <c:axId val="70000001"/>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2"/>
        <c:crosses val="autoZero"/>
        <c:auto val="1"/>
        <c:lblAlgn val="ctr"/>
        <c:lblOffset val="100"/>
        <c:noMultiLvlLbl val="0"/>
      </c:catAx>
      <c:valAx>
        <c:axId val="70000002"/>
        <c:scaling>
          <c:orientation val="minMax"/>
        </c:scaling>
        <c:delete val="0"/>
        <c:axPos val="l"/>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1"/>
        <c:crosses val="autoZero"/>
        <c:crossBetween val="between"/>
      </c:valAx>
      <c:spPr>
        <a:solidFill>
          <a:srgbClr val="FFFFFF"/>
        </a:solidFill>
        <a:ln w="0">
          <a:noFill/>
        </a:ln>
      </c:spPr>
    </c:plotArea>
    <c:plotVisOnly val="1"/>
    <c:dispBlanksAs val="gap"/>
  </c:chart>
  <c:spPr>
    <a:solidFill>
      <a:srgbClr val="FFFFFF"/>
    </a:solidFill>
    <a:ln w="9360">
      <a:solidFill>
        <a:srgbClr val="D9D9D9"/>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Capex vs output</a:t>
            </a:r>
          </a:p>
        </c:rich>
      </c:tx>
      <c:overlay val="0"/>
      <c:spPr>
        <a:noFill/>
        <a:ln w="0">
          <a:noFill/>
        </a:ln>
      </c:spPr>
    </c:title>
    <c:autoTitleDeleted val="0"/>
    <c:plotArea>
      <c:lineChart>
        <c:grouping val="standard"/>
        <c:varyColors val="0"/>
        <c:ser>
          <c:idx val="0"/>
          <c:order val="0"/>
          <c:spPr>
            <a:solidFill>
              <a:srgbClr val="2F5496"/>
            </a:solidFill>
            <a:ln w="28080">
              <a:solidFill>
                <a:srgbClr val="2F5496"/>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28080">
                  <a:solidFill>
                    <a:srgbClr val="000000"/>
                  </a:solidFill>
                </a:ln>
              </c:spPr>
            </c:leaderLines>
            <c:extLst>
              <c:ext xmlns:c15="http://schemas.microsoft.com/office/drawing/2012/chart" uri="{CE6537A1-D6FC-4f65-9D91-7224C49458BB}">
                <c15:showLeaderLines val="1"/>
              </c:ext>
            </c:extLst>
          </c:dLbls>
          <c:cat>
            <c:strRef>
              <c:f>'Financial model'!$A$129:$A$144</c:f>
              <c:strCache>
                <c:ptCount val="16"/>
                <c:pt idx="0">
                  <c:v>1,200.0</c:v>
                </c:pt>
                <c:pt idx="1">
                  <c:v>1,487.2</c:v>
                </c:pt>
                <c:pt idx="2">
                  <c:v>1,843.2</c:v>
                </c:pt>
                <c:pt idx="3">
                  <c:v>2,284.4</c:v>
                </c:pt>
                <c:pt idx="4">
                  <c:v>2,831.2</c:v>
                </c:pt>
                <c:pt idx="5">
                  <c:v>3,508.8</c:v>
                </c:pt>
                <c:pt idx="6">
                  <c:v>4,348.7</c:v>
                </c:pt>
                <c:pt idx="7">
                  <c:v>5,389.6</c:v>
                </c:pt>
                <c:pt idx="8">
                  <c:v>6,679.6</c:v>
                </c:pt>
                <c:pt idx="9">
                  <c:v>8,278.4</c:v>
                </c:pt>
                <c:pt idx="10">
                  <c:v>10,259.9</c:v>
                </c:pt>
                <c:pt idx="11">
                  <c:v>12,715.6</c:v>
                </c:pt>
                <c:pt idx="12">
                  <c:v>15,759.2</c:v>
                </c:pt>
                <c:pt idx="13">
                  <c:v>19,531.2</c:v>
                </c:pt>
                <c:pt idx="14">
                  <c:v>24,206.1</c:v>
                </c:pt>
                <c:pt idx="15">
                  <c:v>30,000.0</c:v>
                </c:pt>
              </c:strCache>
            </c:strRef>
          </c:cat>
          <c:val>
            <c:numRef>
              <c:f>'Financial model'!$B$129:$B$144</c:f>
              <c:numCache>
                <c:formatCode>\£#,##0</c:formatCode>
                <c:ptCount val="16"/>
                <c:pt idx="0">
                  <c:v>275021</c:v>
                </c:pt>
                <c:pt idx="1">
                  <c:v>340848.85772075</c:v>
                </c:pt>
                <c:pt idx="2">
                  <c:v>422433.01230775</c:v>
                </c:pt>
                <c:pt idx="3">
                  <c:v>523544.803815583</c:v>
                </c:pt>
                <c:pt idx="4">
                  <c:v>648858.2828945</c:v>
                </c:pt>
                <c:pt idx="5">
                  <c:v>804166.28562275</c:v>
                </c:pt>
                <c:pt idx="6">
                  <c:v>996648.143531667</c:v>
                </c:pt>
                <c:pt idx="7">
                  <c:v>1235201.63395267</c:v>
                </c:pt>
                <c:pt idx="8">
                  <c:v>1530854.31975958</c:v>
                </c:pt>
                <c:pt idx="9">
                  <c:v>1897273.16328167</c:v>
                </c:pt>
                <c:pt idx="10">
                  <c:v>2351396.47872475</c:v>
                </c:pt>
                <c:pt idx="11">
                  <c:v>2914216.848203</c:v>
                </c:pt>
                <c:pt idx="12">
                  <c:v>3611751.510419</c:v>
                </c:pt>
                <c:pt idx="13">
                  <c:v>4476245.16500725</c:v>
                </c:pt>
                <c:pt idx="14">
                  <c:v>5547660.35717</c:v>
                </c:pt>
                <c:pt idx="15">
                  <c:v>6875525</c:v>
                </c:pt>
              </c:numCache>
            </c:numRef>
          </c:val>
          <c:smooth val="0"/>
        </c:ser>
        <c:hiLowLines>
          <c:spPr>
            <a:ln w="0">
              <a:noFill/>
            </a:ln>
          </c:spPr>
        </c:hiLowLines>
        <c:marker val="0"/>
        <c:axId val="70000001"/>
        <c:axId val="70000002"/>
      </c:lineChart>
      <c:catAx>
        <c:axId val="70000001"/>
        <c:scaling>
          <c:orientation val="minMax"/>
        </c:scaling>
        <c:delete val="0"/>
        <c:axPos val="b"/>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2"/>
        <c:crosses val="autoZero"/>
        <c:auto val="1"/>
        <c:lblAlgn val="ctr"/>
        <c:lblOffset val="100"/>
        <c:noMultiLvlLbl val="0"/>
      </c:catAx>
      <c:valAx>
        <c:axId val="70000002"/>
        <c:scaling>
          <c:orientation val="minMax"/>
        </c:scaling>
        <c:delete val="0"/>
        <c:axPos val="l"/>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1"/>
        <c:crosses val="autoZero"/>
        <c:crossBetween val="between"/>
      </c:valAx>
      <c:spPr>
        <a:solidFill>
          <a:srgbClr val="FFFFFF"/>
        </a:solidFill>
        <a:ln w="0">
          <a:noFill/>
        </a:ln>
      </c:spPr>
    </c:plotArea>
    <c:plotVisOnly val="1"/>
    <c:dispBlanksAs val="gap"/>
  </c:chart>
  <c:spPr>
    <a:solidFill>
      <a:srgbClr val="FFFFFF"/>
    </a:solidFill>
    <a:ln w="9360">
      <a:solidFill>
        <a:srgbClr val="D9D9D9"/>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Payback vs output</a:t>
            </a:r>
          </a:p>
        </c:rich>
      </c:tx>
      <c:overlay val="0"/>
      <c:spPr>
        <a:noFill/>
        <a:ln w="0">
          <a:noFill/>
        </a:ln>
      </c:spPr>
    </c:title>
    <c:autoTitleDeleted val="0"/>
    <c:plotArea>
      <c:lineChart>
        <c:grouping val="standard"/>
        <c:varyColors val="0"/>
        <c:ser>
          <c:idx val="0"/>
          <c:order val="0"/>
          <c:spPr>
            <a:solidFill>
              <a:srgbClr val="2F5496"/>
            </a:solidFill>
            <a:ln w="28080">
              <a:solidFill>
                <a:srgbClr val="2F5496"/>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28080">
                  <a:solidFill>
                    <a:srgbClr val="000000"/>
                  </a:solidFill>
                </a:ln>
              </c:spPr>
            </c:leaderLines>
            <c:extLst>
              <c:ext xmlns:c15="http://schemas.microsoft.com/office/drawing/2012/chart" uri="{CE6537A1-D6FC-4f65-9D91-7224C49458BB}">
                <c15:showLeaderLines val="1"/>
              </c:ext>
            </c:extLst>
          </c:dLbls>
          <c:cat>
            <c:strRef>
              <c:f>'Financial model'!$A$148:$A$163</c:f>
              <c:strCache>
                <c:ptCount val="16"/>
                <c:pt idx="0">
                  <c:v>1,200.0</c:v>
                </c:pt>
                <c:pt idx="1">
                  <c:v>1,487.2</c:v>
                </c:pt>
                <c:pt idx="2">
                  <c:v>1,843.2</c:v>
                </c:pt>
                <c:pt idx="3">
                  <c:v>2,284.4</c:v>
                </c:pt>
                <c:pt idx="4">
                  <c:v>2,831.2</c:v>
                </c:pt>
                <c:pt idx="5">
                  <c:v>3,508.8</c:v>
                </c:pt>
                <c:pt idx="6">
                  <c:v>4,348.7</c:v>
                </c:pt>
                <c:pt idx="7">
                  <c:v>5,389.6</c:v>
                </c:pt>
                <c:pt idx="8">
                  <c:v>6,679.6</c:v>
                </c:pt>
                <c:pt idx="9">
                  <c:v>8,278.4</c:v>
                </c:pt>
                <c:pt idx="10">
                  <c:v>10,259.9</c:v>
                </c:pt>
                <c:pt idx="11">
                  <c:v>12,715.6</c:v>
                </c:pt>
                <c:pt idx="12">
                  <c:v>15,759.2</c:v>
                </c:pt>
                <c:pt idx="13">
                  <c:v>19,531.2</c:v>
                </c:pt>
                <c:pt idx="14">
                  <c:v>24,206.1</c:v>
                </c:pt>
                <c:pt idx="15">
                  <c:v>30,000.0</c:v>
                </c:pt>
              </c:strCache>
            </c:strRef>
          </c:cat>
          <c:val>
            <c:numRef>
              <c:f>'Financial model'!$B$148:$B$163</c:f>
              <c:numCache>
                <c:formatCode>#,##0.0</c:formatCode>
                <c:ptCount val="16"/>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pt idx="15">
                  <c:v>40</c:v>
                </c:pt>
              </c:numCache>
            </c:numRef>
          </c:val>
          <c:smooth val="0"/>
        </c:ser>
        <c:hiLowLines>
          <c:spPr>
            <a:ln w="0">
              <a:noFill/>
            </a:ln>
          </c:spPr>
        </c:hiLowLines>
        <c:marker val="0"/>
        <c:axId val="70000001"/>
        <c:axId val="70000002"/>
      </c:lineChart>
      <c:catAx>
        <c:axId val="70000001"/>
        <c:scaling>
          <c:orientation val="minMax"/>
        </c:scaling>
        <c:delete val="0"/>
        <c:axPos val="b"/>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2"/>
        <c:crosses val="autoZero"/>
        <c:auto val="1"/>
        <c:lblAlgn val="ctr"/>
        <c:lblOffset val="100"/>
        <c:noMultiLvlLbl val="0"/>
      </c:catAx>
      <c:valAx>
        <c:axId val="70000002"/>
        <c:scaling>
          <c:orientation val="minMax"/>
        </c:scaling>
        <c:delete val="0"/>
        <c:axPos val="l"/>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1"/>
        <c:crosses val="autoZero"/>
        <c:crossBetween val="between"/>
      </c:valAx>
      <c:spPr>
        <a:solidFill>
          <a:srgbClr val="FFFFFF"/>
        </a:solidFill>
        <a:ln w="0">
          <a:noFill/>
        </a:ln>
      </c:spPr>
    </c:plotArea>
    <c:plotVisOnly val="1"/>
    <c:dispBlanksAs val="gap"/>
  </c:chart>
  <c:spPr>
    <a:solidFill>
      <a:srgbClr val="FFFFFF"/>
    </a:solidFill>
    <a:ln w="9360">
      <a:solidFill>
        <a:srgbClr val="D9D9D9"/>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Scenario EBITDA — Low / Central / High</a:t>
            </a:r>
          </a:p>
        </c:rich>
      </c:tx>
      <c:overlay val="0"/>
      <c:spPr>
        <a:noFill/>
        <a:ln w="0">
          <a:noFill/>
        </a:ln>
      </c:spPr>
    </c:title>
    <c:autoTitleDeleted val="0"/>
    <c:plotArea>
      <c:barChart>
        <c:barDir val="col"/>
        <c:grouping val="clustered"/>
        <c:varyColors val="0"/>
        <c:ser>
          <c:idx val="0"/>
          <c:order val="0"/>
          <c:spPr>
            <a:solidFill>
              <a:srgbClr val="2F5496"/>
            </a:solidFill>
            <a:ln w="28080">
              <a:solidFill>
                <a:srgbClr val="2F5496"/>
              </a:solidFill>
              <a:round/>
            </a:ln>
          </c:spPr>
          <c:invertIfNegative val="0"/>
          <c:dLbls>
            <c:txPr>
              <a:bodyPr wrap="square"/>
              <a:lstStyle/>
              <a:p>
                <a:pPr>
                  <a:defRPr sz="1000" b="0" u="none" strike="noStrike">
                    <a:solidFill>
                      <a:srgbClr val="000000"/>
                    </a:solidFill>
                    <a:uFillTx/>
                    <a:latin typeface="Calibri"/>
                  </a:defRPr>
                </a:pPr>
              </a:p>
            </c:txPr>
            <c:dLblPos val="outEnd"/>
            <c:showLegendKey val="0"/>
            <c:showVal val="1"/>
            <c:showCatName val="0"/>
            <c:showSerName val="0"/>
            <c:showPercent val="0"/>
            <c:separator>; </c:separator>
            <c:showLeaderLines val="1"/>
            <c:leaderLines>
              <c:spPr>
                <a:ln w="0">
                  <a:solidFill>
                    <a:srgbClr val="2F5496"/>
                  </a:solidFill>
                </a:ln>
              </c:spPr>
            </c:leaderLines>
            <c:extLst>
              <c:ext xmlns:c15="http://schemas.microsoft.com/office/drawing/2012/chart" uri="{CE6537A1-D6FC-4f65-9D91-7224C49458BB}">
                <c15:showLeaderLines val="1"/>
              </c:ext>
            </c:extLst>
          </c:dLbls>
          <c:cat>
            <c:strRef>
              <c:f>'Financial model'!$A$189:$A$191</c:f>
              <c:strCache>
                <c:ptCount val="3"/>
                <c:pt idx="0">
                  <c:v>Low</c:v>
                </c:pt>
                <c:pt idx="1">
                  <c:v>Investment analysis — the sweet-spot finder</c:v>
                </c:pt>
                <c:pt idx="2">
                  <c:v>High</c:v>
                </c:pt>
              </c:strCache>
            </c:strRef>
          </c:cat>
          <c:val>
            <c:numRef>
              <c:f>'Financial model'!$B$189:$B$191</c:f>
              <c:numCache>
                <c:formatCode>\£#,##0</c:formatCode>
                <c:ptCount val="3"/>
                <c:pt idx="0">
                  <c:v>-151618.1225</c:v>
                </c:pt>
                <c:pt idx="2">
                  <c:v>-118572.1775</c:v>
                </c:pt>
              </c:numCache>
            </c:numRef>
          </c:val>
        </c:ser>
        <c:gapWidth val="150"/>
        <c:overlap val="0"/>
        <c:axId val="70000001"/>
        <c:axId val="70000002"/>
      </c:barChart>
      <c:catAx>
        <c:axId val="70000001"/>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2"/>
        <c:crosses val="autoZero"/>
        <c:auto val="1"/>
        <c:lblAlgn val="ctr"/>
        <c:lblOffset val="100"/>
        <c:noMultiLvlLbl val="0"/>
      </c:catAx>
      <c:valAx>
        <c:axId val="70000002"/>
        <c:scaling>
          <c:orientation val="minMax"/>
        </c:scaling>
        <c:delete val="0"/>
        <c:axPos val="l"/>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1"/>
        <c:crosses val="autoZero"/>
        <c:crossBetween val="between"/>
      </c:valAx>
      <c:spPr>
        <a:solidFill>
          <a:srgbClr val="FFFFFF"/>
        </a:solidFill>
        <a:ln w="0">
          <a:noFill/>
        </a:ln>
      </c:spPr>
    </c:plotArea>
    <c:plotVisOnly val="1"/>
    <c:dispBlanksAs val="gap"/>
  </c:chart>
  <c:spPr>
    <a:solidFill>
      <a:srgbClr val="FFFFFF"/>
    </a:solidFill>
    <a:ln w="9360">
      <a:solidFill>
        <a:srgbClr val="D9D9D9"/>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IRR vs capex — crossings = viability &amp; investable points</a:t>
            </a:r>
          </a:p>
        </c:rich>
      </c:tx>
      <c:overlay val="0"/>
      <c:spPr>
        <a:noFill/>
        <a:ln w="0">
          <a:noFill/>
        </a:ln>
      </c:spPr>
    </c:title>
    <c:autoTitleDeleted val="0"/>
    <c:plotArea>
      <c:scatterChart>
        <c:scatterStyle val="line"/>
        <c:varyColors val="0"/>
        <c:ser>
          <c:idx val="0"/>
          <c:order val="0"/>
          <c:tx>
            <c:strRef>
              <c:f>"IRR"</c:f>
              <c:strCache>
                <c:ptCount val="1"/>
                <c:pt idx="0">
                  <c:v>IRR</c:v>
                </c:pt>
              </c:strCache>
            </c:strRef>
          </c:tx>
          <c:spPr>
            <a:solidFill>
              <a:srgbClr val="2F5496"/>
            </a:solidFill>
            <a:ln w="28080">
              <a:solidFill>
                <a:srgbClr val="2F5496"/>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28080">
                  <a:solidFill>
                    <a:srgbClr val="000000"/>
                  </a:solidFill>
                </a:ln>
              </c:spPr>
            </c:leaderLines>
            <c:extLst>
              <c:ext xmlns:c15="http://schemas.microsoft.com/office/drawing/2012/chart" uri="{CE6537A1-D6FC-4f65-9D91-7224C49458BB}">
                <c15:showLeaderLines val="1"/>
              </c:ext>
            </c:extLst>
          </c:dLbls>
          <c:xVal>
            <c:numRef>
              <c:f>'Financial model'!$H$222:$H$237</c:f>
              <c:numCache>
                <c:formatCode>\£#,##0</c:formatCode>
                <c:ptCount val="16"/>
                <c:pt idx="0">
                  <c:v>275021</c:v>
                </c:pt>
                <c:pt idx="1">
                  <c:v>340848.85772075</c:v>
                </c:pt>
                <c:pt idx="2">
                  <c:v>422433.01230775</c:v>
                </c:pt>
                <c:pt idx="3">
                  <c:v>523544.803815583</c:v>
                </c:pt>
                <c:pt idx="4">
                  <c:v>648858.2828945</c:v>
                </c:pt>
                <c:pt idx="5">
                  <c:v>804166.28562275</c:v>
                </c:pt>
                <c:pt idx="6">
                  <c:v>996648.143531667</c:v>
                </c:pt>
                <c:pt idx="7">
                  <c:v>1235201.63395267</c:v>
                </c:pt>
                <c:pt idx="8">
                  <c:v>1530854.31975958</c:v>
                </c:pt>
                <c:pt idx="9">
                  <c:v>1897273.16328167</c:v>
                </c:pt>
                <c:pt idx="10">
                  <c:v>2351396.47872475</c:v>
                </c:pt>
                <c:pt idx="11">
                  <c:v>2914216.848203</c:v>
                </c:pt>
                <c:pt idx="12">
                  <c:v>3611751.510419</c:v>
                </c:pt>
                <c:pt idx="13">
                  <c:v>4476245.16500725</c:v>
                </c:pt>
                <c:pt idx="14">
                  <c:v>5547660.35717</c:v>
                </c:pt>
                <c:pt idx="15">
                  <c:v>6875525</c:v>
                </c:pt>
              </c:numCache>
            </c:numRef>
          </c:xVal>
          <c:yVal>
            <c:numRef>
              <c:f>'Financial model'!$J$222:$J$237</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ser>
        <c:ser>
          <c:idx val="1"/>
          <c:order val="1"/>
          <c:tx>
            <c:strRef>
              <c:f>"Discount rate"</c:f>
              <c:strCache>
                <c:ptCount val="1"/>
                <c:pt idx="0">
                  <c:v>Discount rate</c:v>
                </c:pt>
              </c:strCache>
            </c:strRef>
          </c:tx>
          <c:spPr>
            <a:solidFill>
              <a:srgbClr val="C0392B"/>
            </a:solidFill>
            <a:ln w="28080">
              <a:solidFill>
                <a:srgbClr val="C0392B"/>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28080">
                  <a:solidFill>
                    <a:srgbClr val="000000"/>
                  </a:solidFill>
                </a:ln>
              </c:spPr>
            </c:leaderLines>
            <c:extLst>
              <c:ext xmlns:c15="http://schemas.microsoft.com/office/drawing/2012/chart" uri="{CE6537A1-D6FC-4f65-9D91-7224C49458BB}">
                <c15:showLeaderLines val="1"/>
              </c:ext>
            </c:extLst>
          </c:dLbls>
          <c:xVal>
            <c:numRef>
              <c:f>'Financial model'!$H$222:$H$237</c:f>
              <c:numCache>
                <c:formatCode>\£#,##0</c:formatCode>
                <c:ptCount val="16"/>
                <c:pt idx="0">
                  <c:v>275021</c:v>
                </c:pt>
                <c:pt idx="1">
                  <c:v>340848.85772075</c:v>
                </c:pt>
                <c:pt idx="2">
                  <c:v>422433.01230775</c:v>
                </c:pt>
                <c:pt idx="3">
                  <c:v>523544.803815583</c:v>
                </c:pt>
                <c:pt idx="4">
                  <c:v>648858.2828945</c:v>
                </c:pt>
                <c:pt idx="5">
                  <c:v>804166.28562275</c:v>
                </c:pt>
                <c:pt idx="6">
                  <c:v>996648.143531667</c:v>
                </c:pt>
                <c:pt idx="7">
                  <c:v>1235201.63395267</c:v>
                </c:pt>
                <c:pt idx="8">
                  <c:v>1530854.31975958</c:v>
                </c:pt>
                <c:pt idx="9">
                  <c:v>1897273.16328167</c:v>
                </c:pt>
                <c:pt idx="10">
                  <c:v>2351396.47872475</c:v>
                </c:pt>
                <c:pt idx="11">
                  <c:v>2914216.848203</c:v>
                </c:pt>
                <c:pt idx="12">
                  <c:v>3611751.510419</c:v>
                </c:pt>
                <c:pt idx="13">
                  <c:v>4476245.16500725</c:v>
                </c:pt>
                <c:pt idx="14">
                  <c:v>5547660.35717</c:v>
                </c:pt>
                <c:pt idx="15">
                  <c:v>6875525</c:v>
                </c:pt>
              </c:numCache>
            </c:numRef>
          </c:xVal>
          <c:yVal>
            <c:numRef>
              <c:f>'Financial model'!$K$222:$K$237</c:f>
              <c:numCache>
                <c:formatCode>0.0%</c:formatCode>
                <c:ptCount val="1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numCache>
            </c:numRef>
          </c:yVal>
          <c:smooth val="0"/>
        </c:ser>
        <c:ser>
          <c:idx val="2"/>
          <c:order val="2"/>
          <c:tx>
            <c:strRef>
              <c:f>"Investor hurdle"</c:f>
              <c:strCache>
                <c:ptCount val="1"/>
                <c:pt idx="0">
                  <c:v>Investor hurdle</c:v>
                </c:pt>
              </c:strCache>
            </c:strRef>
          </c:tx>
          <c:spPr>
            <a:solidFill>
              <a:srgbClr val="548235"/>
            </a:solidFill>
            <a:ln w="28080">
              <a:solidFill>
                <a:srgbClr val="548235"/>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28080">
                  <a:solidFill>
                    <a:srgbClr val="000000"/>
                  </a:solidFill>
                </a:ln>
              </c:spPr>
            </c:leaderLines>
            <c:extLst>
              <c:ext xmlns:c15="http://schemas.microsoft.com/office/drawing/2012/chart" uri="{CE6537A1-D6FC-4f65-9D91-7224C49458BB}">
                <c15:showLeaderLines val="1"/>
              </c:ext>
            </c:extLst>
          </c:dLbls>
          <c:xVal>
            <c:numRef>
              <c:f>'Financial model'!$H$222:$H$237</c:f>
              <c:numCache>
                <c:formatCode>\£#,##0</c:formatCode>
                <c:ptCount val="16"/>
                <c:pt idx="0">
                  <c:v>275021</c:v>
                </c:pt>
                <c:pt idx="1">
                  <c:v>340848.85772075</c:v>
                </c:pt>
                <c:pt idx="2">
                  <c:v>422433.01230775</c:v>
                </c:pt>
                <c:pt idx="3">
                  <c:v>523544.803815583</c:v>
                </c:pt>
                <c:pt idx="4">
                  <c:v>648858.2828945</c:v>
                </c:pt>
                <c:pt idx="5">
                  <c:v>804166.28562275</c:v>
                </c:pt>
                <c:pt idx="6">
                  <c:v>996648.143531667</c:v>
                </c:pt>
                <c:pt idx="7">
                  <c:v>1235201.63395267</c:v>
                </c:pt>
                <c:pt idx="8">
                  <c:v>1530854.31975958</c:v>
                </c:pt>
                <c:pt idx="9">
                  <c:v>1897273.16328167</c:v>
                </c:pt>
                <c:pt idx="10">
                  <c:v>2351396.47872475</c:v>
                </c:pt>
                <c:pt idx="11">
                  <c:v>2914216.848203</c:v>
                </c:pt>
                <c:pt idx="12">
                  <c:v>3611751.510419</c:v>
                </c:pt>
                <c:pt idx="13">
                  <c:v>4476245.16500725</c:v>
                </c:pt>
                <c:pt idx="14">
                  <c:v>5547660.35717</c:v>
                </c:pt>
                <c:pt idx="15">
                  <c:v>6875525</c:v>
                </c:pt>
              </c:numCache>
            </c:numRef>
          </c:xVal>
          <c:yVal>
            <c:numRef>
              <c:f>'Financial model'!$L$222:$L$237</c:f>
              <c:numCache>
                <c:formatCode>0.0%</c:formatCode>
                <c:ptCount val="16"/>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numCache>
            </c:numRef>
          </c:yVal>
          <c:smooth val="0"/>
        </c:ser>
        <c:axId val="70000001"/>
        <c:axId val="70000002"/>
      </c:scatterChart>
      <c:valAx>
        <c:axId val="70000001"/>
        <c:scaling>
          <c:orientation val="minMax"/>
        </c:scaling>
        <c:delete val="0"/>
        <c:axPos val="b"/>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2"/>
        <c:crosses val="autoZero"/>
        <c:crossBetween val="midCat"/>
      </c:valAx>
      <c:valAx>
        <c:axId val="70000002"/>
        <c:scaling>
          <c:orientation val="minMax"/>
        </c:scaling>
        <c:delete val="0"/>
        <c:axPos val="l"/>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1"/>
        <c:crosses val="autoZero"/>
        <c:crossBetween val="midCat"/>
      </c:valAx>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p>
      </c:txPr>
    </c:legend>
    <c:plotVisOnly val="1"/>
    <c:dispBlanksAs val="gap"/>
  </c:chart>
  <c:spPr>
    <a:solidFill>
      <a:srgbClr val="FFFFFF"/>
    </a:solidFill>
    <a:ln w="9360">
      <a:solidFill>
        <a:srgbClr val="D9D9D9"/>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NPV vs capex — peak = NPV-max scale</a:t>
            </a:r>
          </a:p>
        </c:rich>
      </c:tx>
      <c:overlay val="0"/>
      <c:spPr>
        <a:noFill/>
        <a:ln w="0">
          <a:noFill/>
        </a:ln>
      </c:spPr>
    </c:title>
    <c:autoTitleDeleted val="0"/>
    <c:plotArea>
      <c:scatterChart>
        <c:scatterStyle val="line"/>
        <c:varyColors val="0"/>
        <c:ser>
          <c:idx val="0"/>
          <c:order val="0"/>
          <c:tx>
            <c:strRef>
              <c:f>"NPV"</c:f>
              <c:strCache>
                <c:ptCount val="1"/>
                <c:pt idx="0">
                  <c:v>NPV</c:v>
                </c:pt>
              </c:strCache>
            </c:strRef>
          </c:tx>
          <c:spPr>
            <a:solidFill>
              <a:srgbClr val="2F5496"/>
            </a:solidFill>
            <a:ln w="28080">
              <a:solidFill>
                <a:srgbClr val="2F5496"/>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28080">
                  <a:solidFill>
                    <a:srgbClr val="000000"/>
                  </a:solidFill>
                </a:ln>
              </c:spPr>
            </c:leaderLines>
            <c:extLst>
              <c:ext xmlns:c15="http://schemas.microsoft.com/office/drawing/2012/chart" uri="{CE6537A1-D6FC-4f65-9D91-7224C49458BB}">
                <c15:showLeaderLines val="1"/>
              </c:ext>
            </c:extLst>
          </c:dLbls>
          <c:xVal>
            <c:numRef>
              <c:f>'Financial model'!$H$222:$H$237</c:f>
              <c:numCache>
                <c:formatCode>\£#,##0</c:formatCode>
                <c:ptCount val="16"/>
                <c:pt idx="0">
                  <c:v>275021</c:v>
                </c:pt>
                <c:pt idx="1">
                  <c:v>340848.85772075</c:v>
                </c:pt>
                <c:pt idx="2">
                  <c:v>422433.01230775</c:v>
                </c:pt>
                <c:pt idx="3">
                  <c:v>523544.803815583</c:v>
                </c:pt>
                <c:pt idx="4">
                  <c:v>648858.2828945</c:v>
                </c:pt>
                <c:pt idx="5">
                  <c:v>804166.28562275</c:v>
                </c:pt>
                <c:pt idx="6">
                  <c:v>996648.143531667</c:v>
                </c:pt>
                <c:pt idx="7">
                  <c:v>1235201.63395267</c:v>
                </c:pt>
                <c:pt idx="8">
                  <c:v>1530854.31975958</c:v>
                </c:pt>
                <c:pt idx="9">
                  <c:v>1897273.16328167</c:v>
                </c:pt>
                <c:pt idx="10">
                  <c:v>2351396.47872475</c:v>
                </c:pt>
                <c:pt idx="11">
                  <c:v>2914216.848203</c:v>
                </c:pt>
                <c:pt idx="12">
                  <c:v>3611751.510419</c:v>
                </c:pt>
                <c:pt idx="13">
                  <c:v>4476245.16500725</c:v>
                </c:pt>
                <c:pt idx="14">
                  <c:v>5547660.35717</c:v>
                </c:pt>
                <c:pt idx="15">
                  <c:v>6875525</c:v>
                </c:pt>
              </c:numCache>
            </c:numRef>
          </c:xVal>
          <c:yVal>
            <c:numRef>
              <c:f>'Financial model'!$M$222:$M$237</c:f>
              <c:numCache>
                <c:formatCode>\£#,##0</c:formatCode>
                <c:ptCount val="16"/>
                <c:pt idx="0">
                  <c:v>-862632.53148288</c:v>
                </c:pt>
                <c:pt idx="1">
                  <c:v>-962121.564950435</c:v>
                </c:pt>
                <c:pt idx="2">
                  <c:v>-1085423.90179026</c:v>
                </c:pt>
                <c:pt idx="3">
                  <c:v>-1238239.36256313</c:v>
                </c:pt>
                <c:pt idx="4">
                  <c:v>-1427632.08086951</c:v>
                </c:pt>
                <c:pt idx="5">
                  <c:v>-1662357.06837794</c:v>
                </c:pt>
                <c:pt idx="6">
                  <c:v>-1953264.81878103</c:v>
                </c:pt>
                <c:pt idx="7">
                  <c:v>-2313803.00146012</c:v>
                </c:pt>
                <c:pt idx="8">
                  <c:v>-2760638.14043419</c:v>
                </c:pt>
                <c:pt idx="9">
                  <c:v>-3314425.82012684</c:v>
                </c:pt>
                <c:pt idx="10">
                  <c:v>-4000765.78762471</c:v>
                </c:pt>
                <c:pt idx="11">
                  <c:v>-4851385.21401983</c:v>
                </c:pt>
                <c:pt idx="12">
                  <c:v>-5905605.29282565</c:v>
                </c:pt>
                <c:pt idx="13">
                  <c:v>-7212159.10016167</c:v>
                </c:pt>
                <c:pt idx="14">
                  <c:v>-8831444.0898527</c:v>
                </c:pt>
                <c:pt idx="15">
                  <c:v>-10838314.3491177</c:v>
                </c:pt>
              </c:numCache>
            </c:numRef>
          </c:yVal>
          <c:smooth val="0"/>
        </c:ser>
        <c:axId val="70000001"/>
        <c:axId val="70000002"/>
      </c:scatterChart>
      <c:valAx>
        <c:axId val="70000001"/>
        <c:scaling>
          <c:orientation val="minMax"/>
        </c:scaling>
        <c:delete val="0"/>
        <c:axPos val="b"/>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2"/>
        <c:crosses val="autoZero"/>
        <c:crossBetween val="midCat"/>
      </c:valAx>
      <c:valAx>
        <c:axId val="70000002"/>
        <c:scaling>
          <c:orientation val="minMax"/>
        </c:scaling>
        <c:delete val="0"/>
        <c:axPos val="l"/>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1"/>
        <c:crosses val="autoZero"/>
        <c:crossBetween val="midCat"/>
      </c:valAx>
      <c:spPr>
        <a:solidFill>
          <a:srgbClr val="FFFFFF"/>
        </a:solidFill>
        <a:ln w="0">
          <a:noFill/>
        </a:ln>
      </c:spPr>
    </c:plotArea>
    <c:plotVisOnly val="1"/>
    <c:dispBlanksAs val="gap"/>
  </c:chart>
  <c:spPr>
    <a:solidFill>
      <a:srgbClr val="FFFFFF"/>
    </a:solidFill>
    <a:ln w="9360">
      <a:solidFill>
        <a:srgbClr val="D9D9D9"/>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Payback vs capex</a:t>
            </a:r>
          </a:p>
        </c:rich>
      </c:tx>
      <c:overlay val="0"/>
      <c:spPr>
        <a:noFill/>
        <a:ln w="0">
          <a:noFill/>
        </a:ln>
      </c:spPr>
    </c:title>
    <c:autoTitleDeleted val="0"/>
    <c:plotArea>
      <c:scatterChart>
        <c:scatterStyle val="line"/>
        <c:varyColors val="0"/>
        <c:ser>
          <c:idx val="0"/>
          <c:order val="0"/>
          <c:tx>
            <c:strRef>
              <c:f>"Payback"</c:f>
              <c:strCache>
                <c:ptCount val="1"/>
                <c:pt idx="0">
                  <c:v>Payback</c:v>
                </c:pt>
              </c:strCache>
            </c:strRef>
          </c:tx>
          <c:spPr>
            <a:solidFill>
              <a:srgbClr val="2F5496"/>
            </a:solidFill>
            <a:ln w="28080">
              <a:solidFill>
                <a:srgbClr val="2F5496"/>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28080">
                  <a:solidFill>
                    <a:srgbClr val="000000"/>
                  </a:solidFill>
                </a:ln>
              </c:spPr>
            </c:leaderLines>
            <c:extLst>
              <c:ext xmlns:c15="http://schemas.microsoft.com/office/drawing/2012/chart" uri="{CE6537A1-D6FC-4f65-9D91-7224C49458BB}">
                <c15:showLeaderLines val="1"/>
              </c:ext>
            </c:extLst>
          </c:dLbls>
          <c:xVal>
            <c:numRef>
              <c:f>'Financial model'!$H$222:$H$237</c:f>
              <c:numCache>
                <c:formatCode>\£#,##0</c:formatCode>
                <c:ptCount val="16"/>
                <c:pt idx="0">
                  <c:v>275021</c:v>
                </c:pt>
                <c:pt idx="1">
                  <c:v>340848.85772075</c:v>
                </c:pt>
                <c:pt idx="2">
                  <c:v>422433.01230775</c:v>
                </c:pt>
                <c:pt idx="3">
                  <c:v>523544.803815583</c:v>
                </c:pt>
                <c:pt idx="4">
                  <c:v>648858.2828945</c:v>
                </c:pt>
                <c:pt idx="5">
                  <c:v>804166.28562275</c:v>
                </c:pt>
                <c:pt idx="6">
                  <c:v>996648.143531667</c:v>
                </c:pt>
                <c:pt idx="7">
                  <c:v>1235201.63395267</c:v>
                </c:pt>
                <c:pt idx="8">
                  <c:v>1530854.31975958</c:v>
                </c:pt>
                <c:pt idx="9">
                  <c:v>1897273.16328167</c:v>
                </c:pt>
                <c:pt idx="10">
                  <c:v>2351396.47872475</c:v>
                </c:pt>
                <c:pt idx="11">
                  <c:v>2914216.848203</c:v>
                </c:pt>
                <c:pt idx="12">
                  <c:v>3611751.510419</c:v>
                </c:pt>
                <c:pt idx="13">
                  <c:v>4476245.16500725</c:v>
                </c:pt>
                <c:pt idx="14">
                  <c:v>5547660.35717</c:v>
                </c:pt>
                <c:pt idx="15">
                  <c:v>6875525</c:v>
                </c:pt>
              </c:numCache>
            </c:numRef>
          </c:xVal>
          <c:yVal>
            <c:numRef>
              <c:f>'Financial model'!$N$222:$N$237</c:f>
              <c:numCache>
                <c:formatCode>#,##0.0</c:formatCode>
                <c:ptCount val="16"/>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pt idx="15">
                  <c:v>40</c:v>
                </c:pt>
              </c:numCache>
            </c:numRef>
          </c:yVal>
          <c:smooth val="0"/>
        </c:ser>
        <c:axId val="70000001"/>
        <c:axId val="70000002"/>
      </c:scatterChart>
      <c:valAx>
        <c:axId val="70000001"/>
        <c:scaling>
          <c:orientation val="minMax"/>
        </c:scaling>
        <c:delete val="0"/>
        <c:axPos val="b"/>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2"/>
        <c:crosses val="autoZero"/>
        <c:crossBetween val="midCat"/>
      </c:valAx>
      <c:valAx>
        <c:axId val="70000002"/>
        <c:scaling>
          <c:orientation val="minMax"/>
        </c:scaling>
        <c:delete val="0"/>
        <c:axPos val="l"/>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70000001"/>
        <c:crosses val="autoZero"/>
        <c:crossBetween val="midCat"/>
      </c:valAx>
      <c:spPr>
        <a:solidFill>
          <a:srgbClr val="FFFFFF"/>
        </a:solidFill>
        <a:ln w="0">
          <a:noFill/>
        </a:ln>
      </c:spPr>
    </c:plotArea>
    <c:plotVisOnly val="1"/>
    <c:dispBlanksAs val="gap"/>
  </c:chart>
  <c:spPr>
    <a:solidFill>
      <a:srgbClr val="FFFFFF"/>
    </a:solidFill>
    <a:ln w="9360">
      <a:solidFill>
        <a:srgbClr val="D9D9D9"/>
      </a:solidFill>
      <a:round/>
    </a:ln>
  </c:spPr>
</c:chartSpace>
</file>

<file path=xl/charts/colors1.xml><?xml version="1.0" encoding="utf-8"?>
<cs:colorStyle xmlns:cs="http://schemas.microsoft.com/office/drawing/2012/chartStyle" xmlns:a="http://schemas.openxmlformats.org/drawingml/2006/main" meth="cycle" id="10">
  <a:schemeClr val="accent1"/>
</cs:colorStyle>
</file>

<file path=xl/charts/colors10.xml><?xml version="1.0" encoding="utf-8"?>
<cs:colorStyle xmlns:cs="http://schemas.microsoft.com/office/drawing/2012/chartStyle" xmlns:a="http://schemas.openxmlformats.org/drawingml/2006/main" meth="cycle" id="10">
  <a:schemeClr val="accent1"/>
</cs:colorStyle>
</file>

<file path=xl/charts/colors2.xml><?xml version="1.0" encoding="utf-8"?>
<cs:colorStyle xmlns:cs="http://schemas.microsoft.com/office/drawing/2012/chartStyle" xmlns:a="http://schemas.openxmlformats.org/drawingml/2006/main" meth="cycle" id="10">
  <a:schemeClr val="accent1"/>
</cs:colorStyle>
</file>

<file path=xl/charts/colors3.xml><?xml version="1.0" encoding="utf-8"?>
<cs:colorStyle xmlns:cs="http://schemas.microsoft.com/office/drawing/2012/chartStyle" xmlns:a="http://schemas.openxmlformats.org/drawingml/2006/main" meth="cycle" id="10">
  <a:schemeClr val="accent1"/>
</cs:colorStyle>
</file>

<file path=xl/charts/colors4.xml><?xml version="1.0" encoding="utf-8"?>
<cs:colorStyle xmlns:cs="http://schemas.microsoft.com/office/drawing/2012/chartStyle" xmlns:a="http://schemas.openxmlformats.org/drawingml/2006/main" meth="cycle" id="10">
  <a:schemeClr val="accent1"/>
</cs:colorStyle>
</file>

<file path=xl/charts/colors5.xml><?xml version="1.0" encoding="utf-8"?>
<cs:colorStyle xmlns:cs="http://schemas.microsoft.com/office/drawing/2012/chartStyle" xmlns:a="http://schemas.openxmlformats.org/drawingml/2006/main" meth="cycle" id="10">
  <a:schemeClr val="accent1"/>
</cs:colorStyle>
</file>

<file path=xl/charts/colors6.xml><?xml version="1.0" encoding="utf-8"?>
<cs:colorStyle xmlns:cs="http://schemas.microsoft.com/office/drawing/2012/chartStyle" xmlns:a="http://schemas.openxmlformats.org/drawingml/2006/main" meth="cycle" id="10">
  <a:schemeClr val="accent1"/>
</cs:colorStyle>
</file>

<file path=xl/charts/colors7.xml><?xml version="1.0" encoding="utf-8"?>
<cs:colorStyle xmlns:cs="http://schemas.microsoft.com/office/drawing/2012/chartStyle" xmlns:a="http://schemas.openxmlformats.org/drawingml/2006/main" meth="cycle" id="10">
  <a:schemeClr val="accent1"/>
</cs:colorStyle>
</file>

<file path=xl/charts/colors8.xml><?xml version="1.0" encoding="utf-8"?>
<cs:colorStyle xmlns:cs="http://schemas.microsoft.com/office/drawing/2012/chartStyle" xmlns:a="http://schemas.openxmlformats.org/drawingml/2006/main" meth="cycle" id="10">
  <a:schemeClr val="accent1"/>
</cs:colorStyle>
</file>

<file path=xl/charts/colors9.xml><?xml version="1.0" encoding="utf-8"?>
<cs:colorStyle xmlns:cs="http://schemas.microsoft.com/office/drawing/2012/chartStyle" xmlns:a="http://schemas.openxmlformats.org/drawingml/2006/main" meth="cycle" id="10">
  <a:schemeClr val="accent1"/>
</cs:colorStyle>
</file>

<file path=xl/charts/style1.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10.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2.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3.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4.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5.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6.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7.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8.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9.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9.png"/>
</Relationships>
</file>

<file path=xl/drawings/_rels/drawing11.xml.rels><?xml version="1.0" encoding="UTF-8"?>
<Relationships xmlns="http://schemas.openxmlformats.org/package/2006/relationships"><Relationship Id="rId1" Type="http://schemas.openxmlformats.org/officeDocument/2006/relationships/image" Target="../media/image10.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4.png"/><Relationship Id="rId4" Type="http://schemas.openxmlformats.org/officeDocument/2006/relationships/image" Target="../media/image5.png"/>
</Relationships>
</file>

<file path=xl/drawings/_rels/drawing4.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
</Relationships>
</file>

<file path=xl/drawings/_rels/drawing6.xml.rels><?xml version="1.0" encoding="UTF-8"?>
<Relationships xmlns="http://schemas.openxmlformats.org/package/2006/relationships"><Relationship Id="rId1" Type="http://schemas.openxmlformats.org/officeDocument/2006/relationships/image" Target="../media/image6.png"/>
</Relationships>
</file>

<file path=xl/drawings/_rels/drawing7.xml.rels><?xml version="1.0" encoding="UTF-8"?>
<Relationships xmlns="http://schemas.openxmlformats.org/package/2006/relationships"><Relationship Id="rId1" Type="http://schemas.openxmlformats.org/officeDocument/2006/relationships/image" Target="../media/image7.png"/>
</Relationships>
</file>

<file path=xl/drawings/_rels/drawing9.xml.rels><?xml version="1.0" encoding="UTF-8"?>
<Relationships xmlns="http://schemas.openxmlformats.org/package/2006/relationships"><Relationship Id="rId1" Type="http://schemas.openxmlformats.org/officeDocument/2006/relationships/image" Target="../media/image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0</xdr:colOff>
      <xdr:row>4</xdr:row>
      <xdr:rowOff>0</xdr:rowOff>
    </xdr:from>
    <xdr:to>
      <xdr:col>8</xdr:col>
      <xdr:colOff>481320</xdr:colOff>
      <xdr:row>17</xdr:row>
      <xdr:rowOff>172080</xdr:rowOff>
    </xdr:to>
    <xdr:pic>
      <xdr:nvPicPr>
        <xdr:cNvPr id="1" name="Image 1" descr="Picture"/>
        <xdr:cNvPicPr/>
      </xdr:nvPicPr>
      <xdr:blipFill>
        <a:blip r:embed="rId1"/>
        <a:stretch/>
      </xdr:blipFill>
      <xdr:spPr>
        <a:xfrm>
          <a:off x="5779800" y="1409760"/>
          <a:ext cx="4476240" cy="2980800"/>
        </a:xfrm>
        <a:prstGeom prst="rect">
          <a:avLst/>
        </a:prstGeom>
        <a:noFill/>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5</xdr:row>
      <xdr:rowOff>0</xdr:rowOff>
    </xdr:from>
    <xdr:to>
      <xdr:col>25</xdr:col>
      <xdr:colOff>599760</xdr:colOff>
      <xdr:row>71</xdr:row>
      <xdr:rowOff>104400</xdr:rowOff>
    </xdr:to>
    <xdr:pic>
      <xdr:nvPicPr>
        <xdr:cNvPr id="20" name="Image 1" descr="Picture"/>
        <xdr:cNvPicPr/>
      </xdr:nvPicPr>
      <xdr:blipFill>
        <a:blip r:embed="rId1"/>
        <a:stretch/>
      </xdr:blipFill>
      <xdr:spPr>
        <a:xfrm>
          <a:off x="0" y="1628640"/>
          <a:ext cx="16192080" cy="12677400"/>
        </a:xfrm>
        <a:prstGeom prst="rect">
          <a:avLst/>
        </a:prstGeom>
        <a:noFill/>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5</xdr:row>
      <xdr:rowOff>0</xdr:rowOff>
    </xdr:from>
    <xdr:to>
      <xdr:col>10</xdr:col>
      <xdr:colOff>2586960</xdr:colOff>
      <xdr:row>40</xdr:row>
      <xdr:rowOff>85320</xdr:rowOff>
    </xdr:to>
    <xdr:pic>
      <xdr:nvPicPr>
        <xdr:cNvPr id="21" name="Image 1" descr="Picture"/>
        <xdr:cNvPicPr/>
      </xdr:nvPicPr>
      <xdr:blipFill>
        <a:blip r:embed="rId1"/>
        <a:stretch/>
      </xdr:blipFill>
      <xdr:spPr>
        <a:xfrm>
          <a:off x="0" y="2124000"/>
          <a:ext cx="14287320" cy="6752880"/>
        </a:xfrm>
        <a:prstGeom prst="rect">
          <a:avLst/>
        </a:prstGeom>
        <a:noFill/>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file>

<file path=xl/drawings/drawing13.xml><?xml version="1.0" encoding="utf-8"?>
<xdr:wsDr xmlns:xdr="http://schemas.openxmlformats.org/drawingml/2006/spreadsheetDrawing" xmlns:a="http://schemas.openxmlformats.org/drawingml/2006/main" xmlns:r="http://schemas.openxmlformats.org/officeDocument/2006/relationships"/>
</file>

<file path=xl/drawings/drawing14.xml><?xml version="1.0" encoding="utf-8"?>
<xdr:wsDr xmlns:xdr="http://schemas.openxmlformats.org/drawingml/2006/spreadsheetDrawing" xmlns:a="http://schemas.openxmlformats.org/drawingml/2006/main" xmlns:r="http://schemas.openxmlformats.org/officeDocument/2006/relationships"/>
</file>

<file path=xl/drawings/drawing15.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1</xdr:row>
      <xdr:rowOff>0</xdr:rowOff>
    </xdr:from>
    <xdr:to>
      <xdr:col>13</xdr:col>
      <xdr:colOff>441720</xdr:colOff>
      <xdr:row>16</xdr:row>
      <xdr:rowOff>180720</xdr:rowOff>
    </xdr:to>
    <xdr:pic>
      <xdr:nvPicPr>
        <xdr:cNvPr id="2" name="Image 1" descr="Picture"/>
        <xdr:cNvPicPr/>
      </xdr:nvPicPr>
      <xdr:blipFill>
        <a:blip r:embed="rId1"/>
        <a:stretch/>
      </xdr:blipFill>
      <xdr:spPr>
        <a:xfrm>
          <a:off x="9374400" y="324000"/>
          <a:ext cx="5333760" cy="355248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6</xdr:row>
      <xdr:rowOff>0</xdr:rowOff>
    </xdr:from>
    <xdr:to>
      <xdr:col>22</xdr:col>
      <xdr:colOff>529560</xdr:colOff>
      <xdr:row>55</xdr:row>
      <xdr:rowOff>189720</xdr:rowOff>
    </xdr:to>
    <xdr:pic>
      <xdr:nvPicPr>
        <xdr:cNvPr id="3" name="Image 1" descr="Picture"/>
        <xdr:cNvPicPr/>
      </xdr:nvPicPr>
      <xdr:blipFill>
        <a:blip r:embed="rId1"/>
        <a:stretch/>
      </xdr:blipFill>
      <xdr:spPr>
        <a:xfrm>
          <a:off x="0" y="2314440"/>
          <a:ext cx="14287320" cy="9524520"/>
        </a:xfrm>
        <a:prstGeom prst="rect">
          <a:avLst/>
        </a:prstGeom>
        <a:noFill/>
        <a:ln w="0">
          <a:noFill/>
        </a:ln>
      </xdr:spPr>
    </xdr:pic>
    <xdr:clientData/>
  </xdr:twoCellAnchor>
  <xdr:twoCellAnchor editAs="oneCell">
    <xdr:from>
      <xdr:col>0</xdr:col>
      <xdr:colOff>0</xdr:colOff>
      <xdr:row>60</xdr:row>
      <xdr:rowOff>0</xdr:rowOff>
    </xdr:from>
    <xdr:to>
      <xdr:col>22</xdr:col>
      <xdr:colOff>529560</xdr:colOff>
      <xdr:row>109</xdr:row>
      <xdr:rowOff>190080</xdr:rowOff>
    </xdr:to>
    <xdr:pic>
      <xdr:nvPicPr>
        <xdr:cNvPr id="4" name="Image 2" descr="Picture"/>
        <xdr:cNvPicPr/>
      </xdr:nvPicPr>
      <xdr:blipFill>
        <a:blip r:embed="rId2"/>
        <a:stretch/>
      </xdr:blipFill>
      <xdr:spPr>
        <a:xfrm>
          <a:off x="0" y="12792240"/>
          <a:ext cx="14287320" cy="9524520"/>
        </a:xfrm>
        <a:prstGeom prst="rect">
          <a:avLst/>
        </a:prstGeom>
        <a:noFill/>
        <a:ln w="0">
          <a:noFill/>
        </a:ln>
      </xdr:spPr>
    </xdr:pic>
    <xdr:clientData/>
  </xdr:twoCellAnchor>
  <xdr:twoCellAnchor editAs="oneCell">
    <xdr:from>
      <xdr:col>0</xdr:col>
      <xdr:colOff>0</xdr:colOff>
      <xdr:row>114</xdr:row>
      <xdr:rowOff>0</xdr:rowOff>
    </xdr:from>
    <xdr:to>
      <xdr:col>22</xdr:col>
      <xdr:colOff>529560</xdr:colOff>
      <xdr:row>163</xdr:row>
      <xdr:rowOff>190080</xdr:rowOff>
    </xdr:to>
    <xdr:pic>
      <xdr:nvPicPr>
        <xdr:cNvPr id="5" name="Image 3" descr="Picture"/>
        <xdr:cNvPicPr/>
      </xdr:nvPicPr>
      <xdr:blipFill>
        <a:blip r:embed="rId3"/>
        <a:stretch/>
      </xdr:blipFill>
      <xdr:spPr>
        <a:xfrm>
          <a:off x="0" y="23269680"/>
          <a:ext cx="14287320" cy="9524520"/>
        </a:xfrm>
        <a:prstGeom prst="rect">
          <a:avLst/>
        </a:prstGeom>
        <a:noFill/>
        <a:ln w="0">
          <a:noFill/>
        </a:ln>
      </xdr:spPr>
    </xdr:pic>
    <xdr:clientData/>
  </xdr:twoCellAnchor>
  <xdr:twoCellAnchor editAs="oneCell">
    <xdr:from>
      <xdr:col>0</xdr:col>
      <xdr:colOff>0</xdr:colOff>
      <xdr:row>168</xdr:row>
      <xdr:rowOff>0</xdr:rowOff>
    </xdr:from>
    <xdr:to>
      <xdr:col>22</xdr:col>
      <xdr:colOff>529560</xdr:colOff>
      <xdr:row>217</xdr:row>
      <xdr:rowOff>190080</xdr:rowOff>
    </xdr:to>
    <xdr:pic>
      <xdr:nvPicPr>
        <xdr:cNvPr id="6" name="Image 4" descr="Picture"/>
        <xdr:cNvPicPr/>
      </xdr:nvPicPr>
      <xdr:blipFill>
        <a:blip r:embed="rId4"/>
        <a:stretch/>
      </xdr:blipFill>
      <xdr:spPr>
        <a:xfrm>
          <a:off x="0" y="33747120"/>
          <a:ext cx="14287320" cy="952452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0</xdr:colOff>
      <xdr:row>34</xdr:row>
      <xdr:rowOff>0</xdr:rowOff>
    </xdr:from>
    <xdr:to>
      <xdr:col>9</xdr:col>
      <xdr:colOff>34920</xdr:colOff>
      <xdr:row>48</xdr:row>
      <xdr:rowOff>32760</xdr:rowOff>
    </xdr:to>
    <xdr:graphicFrame>
      <xdr:nvGraphicFramePr>
        <xdr:cNvPr id="7" name="Chart 1"/>
        <xdr:cNvGraphicFramePr/>
      </xdr:nvGraphicFramePr>
      <xdr:xfrm>
        <a:off x="5638680" y="7410600"/>
        <a:ext cx="5039640" cy="269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88</xdr:row>
      <xdr:rowOff>0</xdr:rowOff>
    </xdr:from>
    <xdr:to>
      <xdr:col>10</xdr:col>
      <xdr:colOff>1115280</xdr:colOff>
      <xdr:row>103</xdr:row>
      <xdr:rowOff>22320</xdr:rowOff>
    </xdr:to>
    <xdr:graphicFrame>
      <xdr:nvGraphicFramePr>
        <xdr:cNvPr id="8" name="Chart 2"/>
        <xdr:cNvGraphicFramePr/>
      </xdr:nvGraphicFramePr>
      <xdr:xfrm>
        <a:off x="6766560" y="19606320"/>
        <a:ext cx="6119640" cy="287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0</xdr:colOff>
      <xdr:row>104</xdr:row>
      <xdr:rowOff>0</xdr:rowOff>
    </xdr:from>
    <xdr:to>
      <xdr:col>9</xdr:col>
      <xdr:colOff>802800</xdr:colOff>
      <xdr:row>119</xdr:row>
      <xdr:rowOff>22320</xdr:rowOff>
    </xdr:to>
    <xdr:graphicFrame>
      <xdr:nvGraphicFramePr>
        <xdr:cNvPr id="9" name="Chart 3"/>
        <xdr:cNvGraphicFramePr/>
      </xdr:nvGraphicFramePr>
      <xdr:xfrm>
        <a:off x="6766560" y="22654440"/>
        <a:ext cx="4679640" cy="28796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0</xdr:colOff>
      <xdr:row>126</xdr:row>
      <xdr:rowOff>0</xdr:rowOff>
    </xdr:from>
    <xdr:to>
      <xdr:col>13</xdr:col>
      <xdr:colOff>528840</xdr:colOff>
      <xdr:row>141</xdr:row>
      <xdr:rowOff>22320</xdr:rowOff>
    </xdr:to>
    <xdr:graphicFrame>
      <xdr:nvGraphicFramePr>
        <xdr:cNvPr id="10" name="Chart 4"/>
        <xdr:cNvGraphicFramePr/>
      </xdr:nvGraphicFramePr>
      <xdr:xfrm>
        <a:off x="10643400" y="26959680"/>
        <a:ext cx="5039640" cy="28796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0</xdr:colOff>
      <xdr:row>143</xdr:row>
      <xdr:rowOff>0</xdr:rowOff>
    </xdr:from>
    <xdr:to>
      <xdr:col>13</xdr:col>
      <xdr:colOff>528840</xdr:colOff>
      <xdr:row>158</xdr:row>
      <xdr:rowOff>22320</xdr:rowOff>
    </xdr:to>
    <xdr:graphicFrame>
      <xdr:nvGraphicFramePr>
        <xdr:cNvPr id="11" name="Chart 5"/>
        <xdr:cNvGraphicFramePr/>
      </xdr:nvGraphicFramePr>
      <xdr:xfrm>
        <a:off x="10643400" y="30198240"/>
        <a:ext cx="5039640" cy="28796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0</xdr:colOff>
      <xdr:row>160</xdr:row>
      <xdr:rowOff>0</xdr:rowOff>
    </xdr:from>
    <xdr:to>
      <xdr:col>13</xdr:col>
      <xdr:colOff>528840</xdr:colOff>
      <xdr:row>174</xdr:row>
      <xdr:rowOff>212400</xdr:rowOff>
    </xdr:to>
    <xdr:graphicFrame>
      <xdr:nvGraphicFramePr>
        <xdr:cNvPr id="12" name="Chart 6"/>
        <xdr:cNvGraphicFramePr/>
      </xdr:nvGraphicFramePr>
      <xdr:xfrm>
        <a:off x="10643400" y="33436440"/>
        <a:ext cx="5039640" cy="28796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220</xdr:row>
      <xdr:rowOff>0</xdr:rowOff>
    </xdr:from>
    <xdr:to>
      <xdr:col>3</xdr:col>
      <xdr:colOff>888480</xdr:colOff>
      <xdr:row>236</xdr:row>
      <xdr:rowOff>11880</xdr:rowOff>
    </xdr:to>
    <xdr:graphicFrame>
      <xdr:nvGraphicFramePr>
        <xdr:cNvPr id="13" name="Chart 7"/>
        <xdr:cNvGraphicFramePr/>
      </xdr:nvGraphicFramePr>
      <xdr:xfrm>
        <a:off x="0" y="48709080"/>
        <a:ext cx="5399640" cy="30596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238</xdr:row>
      <xdr:rowOff>0</xdr:rowOff>
    </xdr:from>
    <xdr:to>
      <xdr:col>3</xdr:col>
      <xdr:colOff>888480</xdr:colOff>
      <xdr:row>254</xdr:row>
      <xdr:rowOff>11880</xdr:rowOff>
    </xdr:to>
    <xdr:graphicFrame>
      <xdr:nvGraphicFramePr>
        <xdr:cNvPr id="14" name="Chart 8"/>
        <xdr:cNvGraphicFramePr/>
      </xdr:nvGraphicFramePr>
      <xdr:xfrm>
        <a:off x="0" y="52138080"/>
        <a:ext cx="5399640" cy="305964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256</xdr:row>
      <xdr:rowOff>0</xdr:rowOff>
    </xdr:from>
    <xdr:to>
      <xdr:col>3</xdr:col>
      <xdr:colOff>888480</xdr:colOff>
      <xdr:row>272</xdr:row>
      <xdr:rowOff>11880</xdr:rowOff>
    </xdr:to>
    <xdr:graphicFrame>
      <xdr:nvGraphicFramePr>
        <xdr:cNvPr id="15" name="Chart 9"/>
        <xdr:cNvGraphicFramePr/>
      </xdr:nvGraphicFramePr>
      <xdr:xfrm>
        <a:off x="0" y="55567080"/>
        <a:ext cx="5399640" cy="305964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274</xdr:row>
      <xdr:rowOff>0</xdr:rowOff>
    </xdr:from>
    <xdr:to>
      <xdr:col>3</xdr:col>
      <xdr:colOff>888480</xdr:colOff>
      <xdr:row>290</xdr:row>
      <xdr:rowOff>11880</xdr:rowOff>
    </xdr:to>
    <xdr:graphicFrame>
      <xdr:nvGraphicFramePr>
        <xdr:cNvPr id="16" name="Chart 10"/>
        <xdr:cNvGraphicFramePr/>
      </xdr:nvGraphicFramePr>
      <xdr:xfrm>
        <a:off x="0" y="58996080"/>
        <a:ext cx="5399640" cy="305964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5</xdr:row>
      <xdr:rowOff>0</xdr:rowOff>
    </xdr:from>
    <xdr:to>
      <xdr:col>25</xdr:col>
      <xdr:colOff>599760</xdr:colOff>
      <xdr:row>33</xdr:row>
      <xdr:rowOff>37800</xdr:rowOff>
    </xdr:to>
    <xdr:pic>
      <xdr:nvPicPr>
        <xdr:cNvPr id="17" name="Image 1" descr="Picture"/>
        <xdr:cNvPicPr/>
      </xdr:nvPicPr>
      <xdr:blipFill>
        <a:blip r:embed="rId1"/>
        <a:stretch/>
      </xdr:blipFill>
      <xdr:spPr>
        <a:xfrm>
          <a:off x="0" y="1628640"/>
          <a:ext cx="16192080" cy="5371920"/>
        </a:xfrm>
        <a:prstGeom prst="rect">
          <a:avLst/>
        </a:prstGeom>
        <a:noFill/>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5</xdr:row>
      <xdr:rowOff>0</xdr:rowOff>
    </xdr:from>
    <xdr:to>
      <xdr:col>25</xdr:col>
      <xdr:colOff>599760</xdr:colOff>
      <xdr:row>48</xdr:row>
      <xdr:rowOff>161280</xdr:rowOff>
    </xdr:to>
    <xdr:pic>
      <xdr:nvPicPr>
        <xdr:cNvPr id="18" name="Image 1" descr="Picture"/>
        <xdr:cNvPicPr/>
      </xdr:nvPicPr>
      <xdr:blipFill>
        <a:blip r:embed="rId1"/>
        <a:stretch/>
      </xdr:blipFill>
      <xdr:spPr>
        <a:xfrm>
          <a:off x="0" y="1628640"/>
          <a:ext cx="16192080" cy="8353080"/>
        </a:xfrm>
        <a:prstGeom prst="rect">
          <a:avLst/>
        </a:prstGeom>
        <a:noFill/>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5</xdr:row>
      <xdr:rowOff>0</xdr:rowOff>
    </xdr:from>
    <xdr:to>
      <xdr:col>25</xdr:col>
      <xdr:colOff>599760</xdr:colOff>
      <xdr:row>90</xdr:row>
      <xdr:rowOff>170640</xdr:rowOff>
    </xdr:to>
    <xdr:pic>
      <xdr:nvPicPr>
        <xdr:cNvPr id="19" name="Image 1" descr="Picture"/>
        <xdr:cNvPicPr/>
      </xdr:nvPicPr>
      <xdr:blipFill>
        <a:blip r:embed="rId1"/>
        <a:stretch/>
      </xdr:blipFill>
      <xdr:spPr>
        <a:xfrm>
          <a:off x="0" y="1628640"/>
          <a:ext cx="16192080" cy="1636344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6.xml"/>
</Relationships>
</file>

<file path=xl/worksheets/_rels/sheet12.xml.rels><?xml version="1.0" encoding="UTF-8"?>
<Relationships xmlns="http://schemas.openxmlformats.org/package/2006/relationships"><Relationship Id="rId1" Type="http://schemas.openxmlformats.org/officeDocument/2006/relationships/drawing" Target="../drawings/drawing7.xml"/>
</Relationships>
</file>

<file path=xl/worksheets/_rels/sheet13.xml.rels><?xml version="1.0" encoding="UTF-8"?>
<Relationships xmlns="http://schemas.openxmlformats.org/package/2006/relationships"><Relationship Id="rId1" Type="http://schemas.openxmlformats.org/officeDocument/2006/relationships/drawing" Target="../drawings/drawing8.xml"/>
</Relationships>
</file>

<file path=xl/worksheets/_rels/sheet14.xml.rels><?xml version="1.0" encoding="UTF-8"?>
<Relationships xmlns="http://schemas.openxmlformats.org/package/2006/relationships"><Relationship Id="rId1" Type="http://schemas.openxmlformats.org/officeDocument/2006/relationships/drawing" Target="../drawings/drawing9.xml"/>
</Relationships>
</file>

<file path=xl/worksheets/_rels/sheet15.xml.rels><?xml version="1.0" encoding="UTF-8"?>
<Relationships xmlns="http://schemas.openxmlformats.org/package/2006/relationships"><Relationship Id="rId1" Type="http://schemas.openxmlformats.org/officeDocument/2006/relationships/drawing" Target="../drawings/drawing10.xml"/>
</Relationships>
</file>

<file path=xl/worksheets/_rels/sheet16.xml.rels><?xml version="1.0" encoding="UTF-8"?>
<Relationships xmlns="http://schemas.openxmlformats.org/package/2006/relationships"><Relationship Id="rId1" Type="http://schemas.openxmlformats.org/officeDocument/2006/relationships/drawing" Target="../drawings/drawing11.xml"/>
</Relationships>
</file>

<file path=xl/worksheets/_rels/sheet19.xml.rels><?xml version="1.0" encoding="UTF-8"?>
<Relationships xmlns="http://schemas.openxmlformats.org/package/2006/relationships"><Relationship Id="rId1" Type="http://schemas.openxmlformats.org/officeDocument/2006/relationships/drawing" Target="../drawings/drawing12.xml"/>
</Relationships>
</file>

<file path=xl/worksheets/_rels/sheet25.xml.rels><?xml version="1.0" encoding="UTF-8"?>
<Relationships xmlns="http://schemas.openxmlformats.org/package/2006/relationships"><Relationship Id="rId1" Type="http://schemas.openxmlformats.org/officeDocument/2006/relationships/drawing" Target="../drawings/drawing13.xml"/>
</Relationships>
</file>

<file path=xl/worksheets/_rels/sheet26.xml.rels><?xml version="1.0" encoding="UTF-8"?>
<Relationships xmlns="http://schemas.openxmlformats.org/package/2006/relationships"><Relationship Id="rId1" Type="http://schemas.openxmlformats.org/officeDocument/2006/relationships/drawing" Target="../drawings/drawing14.xml"/>
</Relationships>
</file>

<file path=xl/worksheets/_rels/sheet29.xml.rels><?xml version="1.0" encoding="UTF-8"?>
<Relationships xmlns="http://schemas.openxmlformats.org/package/2006/relationships"><Relationship Id="rId1" Type="http://schemas.openxmlformats.org/officeDocument/2006/relationships/drawing" Target="../drawings/drawing15.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drawing" Target="../drawings/drawing4.xml"/>
</Relationships>
</file>

<file path=xl/worksheets/_rels/sheet7.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F5597"/>
    <pageSetUpPr fitToPage="false"/>
  </sheetPr>
  <dimension ref="A1:I6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6"/>
    <col collapsed="false" customWidth="true" hidden="false" outlineLevel="0" max="2" min="2" style="0" width="20"/>
    <col collapsed="false" customWidth="true" hidden="false" outlineLevel="0" max="4" min="3" style="0" width="18"/>
    <col collapsed="false" customWidth="true" hidden="false" outlineLevel="0" max="7" min="5" style="0" width="16"/>
  </cols>
  <sheetData>
    <row r="1" customFormat="false" ht="25.5" hidden="false" customHeight="true" outlineLevel="0" collapsed="false">
      <c r="A1" s="1" t="s">
        <v>0</v>
      </c>
      <c r="B1" s="1"/>
      <c r="C1" s="1"/>
      <c r="D1" s="1"/>
      <c r="E1" s="1"/>
      <c r="F1" s="1"/>
      <c r="G1" s="1"/>
    </row>
    <row r="2" customFormat="false" ht="30" hidden="false" customHeight="true" outlineLevel="0" collapsed="false">
      <c r="A2" s="2" t="str">
        <f aca="false">"⬤ TAB QUALITY "&amp;IF(ISNUMBER('Quality &amp; Audit'!$B$25),IF('Quality &amp; Audit'!$B$25=INT('Quality &amp; Audit'!$B$25),TEXT('Quality &amp; Audit'!$B$25,"0"),TEXT('Quality &amp; Audit'!$B$25,"0.0")),"—")&amp;"/10 · "&amp;IF(ISNUMBER('Quality &amp; Audit'!$B$25),IF('Quality &amp; Audit'!$B$25&gt;=8,"PASS","FAIL"),"UNSCORED")&amp;" (target ≥8, live from the Quality &amp; Audit score cell)"&amp;" · MIRROR of the dossier floor (min of every deterministic section &amp; non-mirror tab) — re-stamped from the CURRENT scores, never a stale earlier cap; own content check: cov…"&amp;" · full audit: Quality &amp; Audit tab"</f>
        <v>⬤ TAB QUALITY 8/10 · PASS (target ≥8, live from the Quality &amp; Audit score cell) · MIRROR of the dossier floor (min of every deterministic section &amp; non-mirror tab) — re-stamped from the CURRENT scores, never a stale earlier cap; own content check: cov… · full audit: Quality &amp; Audit tab</v>
      </c>
      <c r="B2" s="2"/>
      <c r="C2" s="2"/>
      <c r="D2" s="2"/>
      <c r="E2" s="2"/>
      <c r="F2" s="2"/>
      <c r="G2" s="2"/>
    </row>
    <row r="3" customFormat="false" ht="40.5" hidden="false" customHeight="true" outlineLevel="0" collapsed="false">
      <c r="A3" s="3" t="s">
        <v>1</v>
      </c>
      <c r="B3" s="3"/>
      <c r="C3" s="3"/>
      <c r="D3" s="3"/>
      <c r="E3" s="3"/>
      <c r="F3" s="3"/>
      <c r="G3" s="3"/>
    </row>
    <row r="5" customFormat="false" ht="15" hidden="false" customHeight="false" outlineLevel="0" collapsed="false">
      <c r="A5" s="4" t="s">
        <v>2</v>
      </c>
    </row>
    <row r="6" customFormat="false" ht="19.7" hidden="false" customHeight="false" outlineLevel="0" collapsed="false">
      <c r="A6" s="5" t="s">
        <v>3</v>
      </c>
      <c r="B6" s="5"/>
      <c r="C6" s="5"/>
    </row>
    <row r="8" customFormat="false" ht="15" hidden="false" customHeight="false" outlineLevel="0" collapsed="false">
      <c r="A8" s="4" t="s">
        <v>4</v>
      </c>
    </row>
    <row r="9" customFormat="false" ht="19.7" hidden="false" customHeight="false" outlineLevel="0" collapsed="false">
      <c r="A9" s="5" t="s">
        <v>5</v>
      </c>
      <c r="B9" s="5"/>
      <c r="C9" s="5"/>
    </row>
    <row r="10" customFormat="false" ht="15" hidden="false" customHeight="true" outlineLevel="0" collapsed="false">
      <c r="A10" s="6" t="s">
        <v>6</v>
      </c>
      <c r="B10" s="6"/>
      <c r="C10" s="6"/>
    </row>
    <row r="12" customFormat="false" ht="15" hidden="false" customHeight="false" outlineLevel="0" collapsed="false">
      <c r="A12" s="4" t="s">
        <v>7</v>
      </c>
    </row>
    <row r="13" customFormat="false" ht="19.7" hidden="false" customHeight="false" outlineLevel="0" collapsed="false">
      <c r="A13" s="5" t="s">
        <v>8</v>
      </c>
      <c r="B13" s="5"/>
      <c r="C13" s="5"/>
    </row>
    <row r="15" customFormat="false" ht="15" hidden="false" customHeight="false" outlineLevel="0" collapsed="false">
      <c r="A15" s="4" t="s">
        <v>9</v>
      </c>
    </row>
    <row r="16" customFormat="false" ht="19.7" hidden="false" customHeight="false" outlineLevel="0" collapsed="false">
      <c r="A16" s="5" t="str">
        <f aca="false">IF('Quality &amp; Audit'!$B$58=0,"SHIPS","DRAFT — "&amp;'Quality &amp; Audit'!$B$58&amp;" open issue"&amp;IF('Quality &amp; Audit'!$B$58=1,"","s"))</f>
        <v>SHIPS</v>
      </c>
      <c r="B16" s="5"/>
      <c r="C16" s="5"/>
    </row>
    <row r="17" customFormat="false" ht="22.35" hidden="false" customHeight="true" outlineLevel="0" collapsed="false">
      <c r="A17" s="6" t="s">
        <v>10</v>
      </c>
      <c r="B17" s="6"/>
      <c r="C17" s="6"/>
    </row>
    <row r="22" customFormat="false" ht="55.5" hidden="false" customHeight="true" outlineLevel="0" collapsed="false">
      <c r="A22" s="7" t="s">
        <v>11</v>
      </c>
      <c r="B22" s="7"/>
      <c r="C22" s="7"/>
      <c r="D22" s="7"/>
      <c r="E22" s="7"/>
      <c r="F22" s="7"/>
      <c r="G22" s="7"/>
    </row>
    <row r="23" customFormat="false" ht="15" hidden="false" customHeight="false" outlineLevel="0" collapsed="false">
      <c r="A23" s="7"/>
      <c r="B23" s="7"/>
      <c r="C23" s="7"/>
      <c r="D23" s="7"/>
      <c r="E23" s="7"/>
      <c r="F23" s="7"/>
      <c r="G23" s="7"/>
    </row>
    <row r="24" customFormat="false" ht="15" hidden="false" customHeight="false" outlineLevel="0" collapsed="false">
      <c r="A24" s="7"/>
      <c r="B24" s="7"/>
      <c r="C24" s="7"/>
      <c r="D24" s="7"/>
      <c r="E24" s="7"/>
      <c r="F24" s="7"/>
      <c r="G24" s="7"/>
    </row>
    <row r="26" customFormat="false" ht="15" hidden="false" customHeight="false" outlineLevel="0" collapsed="false">
      <c r="A26" s="8" t="s">
        <v>12</v>
      </c>
      <c r="B26" s="8"/>
      <c r="C26" s="8"/>
      <c r="D26" s="8"/>
      <c r="E26" s="8"/>
      <c r="F26" s="8"/>
      <c r="G26" s="8"/>
    </row>
    <row r="27" customFormat="false" ht="23.85" hidden="false" customHeight="false" outlineLevel="0" collapsed="false">
      <c r="A27" s="9" t="s">
        <v>13</v>
      </c>
      <c r="B27" s="9" t="s">
        <v>14</v>
      </c>
      <c r="C27" s="9" t="s">
        <v>15</v>
      </c>
      <c r="D27" s="9" t="s">
        <v>16</v>
      </c>
      <c r="E27" s="9" t="s">
        <v>17</v>
      </c>
      <c r="F27" s="9" t="s">
        <v>18</v>
      </c>
      <c r="G27" s="9" t="s">
        <v>9</v>
      </c>
      <c r="H27" s="9" t="s">
        <v>19</v>
      </c>
      <c r="I27" s="10" t="s">
        <v>20</v>
      </c>
    </row>
    <row r="28" customFormat="false" ht="105.95" hidden="false" customHeight="false" outlineLevel="0" collapsed="false">
      <c r="A28" s="11" t="s">
        <v>21</v>
      </c>
      <c r="B28" s="12" t="n">
        <v>6000</v>
      </c>
      <c r="C28" s="11" t="s">
        <v>22</v>
      </c>
      <c r="D28" s="11" t="s">
        <v>23</v>
      </c>
      <c r="E28" s="13" t="n">
        <v>6000</v>
      </c>
      <c r="F28" s="11" t="s">
        <v>24</v>
      </c>
      <c r="G28" s="14" t="str">
        <f aca="false">IF(E28&gt;=B28-120,"PASS","FAIL")</f>
        <v>PASS</v>
      </c>
      <c r="H28" s="15" t="s">
        <v>25</v>
      </c>
      <c r="I28" s="16" t="str">
        <f aca="false">IF(AND(LEN(TRIM(A28&amp;""))&gt;0,TRIM(A28&amp;"")&lt;&gt;"—",LEN(TRIM(B28&amp;""))&gt;0,TRIM(B28&amp;"")&lt;&gt;"—",LEN(TRIM(G28&amp;""))&gt;0,TRIM(G28&amp;"")&lt;&gt;"—"),"PASS","⚠ FAIL — "&amp;"a required cell is empty/placeholder or wrong type")</f>
        <v>PASS</v>
      </c>
    </row>
    <row r="29" customFormat="false" ht="105.95" hidden="false" customHeight="false" outlineLevel="0" collapsed="false">
      <c r="A29" s="11" t="s">
        <v>26</v>
      </c>
      <c r="B29" s="12" t="n">
        <v>120</v>
      </c>
      <c r="C29" s="11" t="s">
        <v>27</v>
      </c>
      <c r="D29" s="11" t="s">
        <v>26</v>
      </c>
      <c r="E29" s="13" t="n">
        <v>120</v>
      </c>
      <c r="F29" s="11" t="s">
        <v>24</v>
      </c>
      <c r="G29" s="14" t="str">
        <f aca="false">IF(E29&gt;=B29-2.4,"PASS","FAIL")</f>
        <v>PASS</v>
      </c>
      <c r="H29" s="15" t="s">
        <v>28</v>
      </c>
      <c r="I29" s="16" t="str">
        <f aca="false">IF(AND(LEN(TRIM(A29&amp;""))&gt;0,TRIM(A29&amp;"")&lt;&gt;"—",LEN(TRIM(B29&amp;""))&gt;0,TRIM(B29&amp;"")&lt;&gt;"—",LEN(TRIM(G29&amp;""))&gt;0,TRIM(G29&amp;"")&lt;&gt;"—"),"PASS","⚠ FAIL — "&amp;"a required cell is empty/placeholder or wrong type")</f>
        <v>PASS</v>
      </c>
    </row>
    <row r="30" customFormat="false" ht="105.95" hidden="false" customHeight="false" outlineLevel="0" collapsed="false">
      <c r="A30" s="11" t="s">
        <v>29</v>
      </c>
      <c r="B30" s="12" t="n">
        <v>200</v>
      </c>
      <c r="C30" s="11" t="s">
        <v>22</v>
      </c>
      <c r="D30" s="11" t="s">
        <v>30</v>
      </c>
      <c r="E30" s="13" t="n">
        <v>200</v>
      </c>
      <c r="F30" s="11" t="s">
        <v>24</v>
      </c>
      <c r="G30" s="14" t="str">
        <f aca="false">IF(E30&gt;=B30-4,"PASS","FAIL")</f>
        <v>PASS</v>
      </c>
      <c r="H30" s="15" t="s">
        <v>31</v>
      </c>
      <c r="I30" s="16" t="str">
        <f aca="false">IF(AND(LEN(TRIM(A30&amp;""))&gt;0,TRIM(A30&amp;"")&lt;&gt;"—",LEN(TRIM(B30&amp;""))&gt;0,TRIM(B30&amp;"")&lt;&gt;"—",LEN(TRIM(G30&amp;""))&gt;0,TRIM(G30&amp;"")&lt;&gt;"—"),"PASS","⚠ FAIL — "&amp;"a required cell is empty/placeholder or wrong type")</f>
        <v>PASS</v>
      </c>
    </row>
    <row r="31" customFormat="false" ht="105.95" hidden="false" customHeight="false" outlineLevel="0" collapsed="false">
      <c r="A31" s="11" t="s">
        <v>32</v>
      </c>
      <c r="B31" s="12" t="n">
        <v>45</v>
      </c>
      <c r="C31" s="11" t="s">
        <v>33</v>
      </c>
      <c r="D31" s="11" t="s">
        <v>34</v>
      </c>
      <c r="E31" s="13" t="n">
        <v>90</v>
      </c>
      <c r="F31" s="11" t="s">
        <v>24</v>
      </c>
      <c r="G31" s="14" t="str">
        <f aca="false">IF(E31&gt;=B31-0.9,"PASS","FAIL")</f>
        <v>PASS</v>
      </c>
      <c r="H31" s="15" t="s">
        <v>35</v>
      </c>
      <c r="I31" s="16" t="str">
        <f aca="false">IF(AND(LEN(TRIM(A31&amp;""))&gt;0,TRIM(A31&amp;"")&lt;&gt;"—",LEN(TRIM(B31&amp;""))&gt;0,TRIM(B31&amp;"")&lt;&gt;"—",LEN(TRIM(G31&amp;""))&gt;0,TRIM(G31&amp;"")&lt;&gt;"—"),"PASS","⚠ FAIL — "&amp;"a required cell is empty/placeholder or wrong type")</f>
        <v>PASS</v>
      </c>
    </row>
    <row r="32" customFormat="false" ht="105.95" hidden="false" customHeight="false" outlineLevel="0" collapsed="false">
      <c r="A32" s="11" t="s">
        <v>36</v>
      </c>
      <c r="B32" s="12" t="n">
        <v>8</v>
      </c>
      <c r="C32" s="11" t="s">
        <v>33</v>
      </c>
      <c r="D32" s="11" t="s">
        <v>36</v>
      </c>
      <c r="E32" s="13" t="n">
        <v>8</v>
      </c>
      <c r="F32" s="11" t="s">
        <v>24</v>
      </c>
      <c r="G32" s="14" t="str">
        <f aca="false">IF(E32&gt;=B32-0.16,"PASS","FAIL")</f>
        <v>PASS</v>
      </c>
      <c r="H32" s="15" t="s">
        <v>37</v>
      </c>
      <c r="I32" s="16" t="str">
        <f aca="false">IF(AND(LEN(TRIM(A32&amp;""))&gt;0,TRIM(A32&amp;"")&lt;&gt;"—",LEN(TRIM(B32&amp;""))&gt;0,TRIM(B32&amp;"")&lt;&gt;"—",LEN(TRIM(G32&amp;""))&gt;0,TRIM(G32&amp;"")&lt;&gt;"—"),"PASS","⚠ FAIL — "&amp;"a required cell is empty/placeholder or wrong type")</f>
        <v>PASS</v>
      </c>
    </row>
    <row r="33" customFormat="false" ht="126.85" hidden="false" customHeight="false" outlineLevel="0" collapsed="false">
      <c r="A33" s="11" t="s">
        <v>38</v>
      </c>
      <c r="B33" s="12" t="n">
        <v>25</v>
      </c>
      <c r="C33" s="11" t="s">
        <v>33</v>
      </c>
      <c r="D33" s="11" t="s">
        <v>39</v>
      </c>
      <c r="E33" s="13" t="n">
        <v>25</v>
      </c>
      <c r="F33" s="11" t="s">
        <v>24</v>
      </c>
      <c r="G33" s="14" t="str">
        <f aca="false">IF(E33&gt;=B33-0.5,"PASS","FAIL")</f>
        <v>PASS</v>
      </c>
      <c r="H33" s="15" t="s">
        <v>40</v>
      </c>
      <c r="I33" s="16" t="str">
        <f aca="false">IF(AND(LEN(TRIM(A33&amp;""))&gt;0,TRIM(A33&amp;"")&lt;&gt;"—",LEN(TRIM(B33&amp;""))&gt;0,TRIM(B33&amp;"")&lt;&gt;"—",LEN(TRIM(G33&amp;""))&gt;0,TRIM(G33&amp;"")&lt;&gt;"—"),"PASS","⚠ FAIL — "&amp;"a required cell is empty/placeholder or wrong type")</f>
        <v>PASS</v>
      </c>
    </row>
    <row r="34" customFormat="false" ht="64.15" hidden="false" customHeight="false" outlineLevel="0" collapsed="false">
      <c r="A34" s="11" t="s">
        <v>41</v>
      </c>
      <c r="B34" s="12" t="n">
        <v>75</v>
      </c>
      <c r="C34" s="11" t="s">
        <v>42</v>
      </c>
      <c r="D34" s="11" t="s">
        <v>41</v>
      </c>
      <c r="E34" s="13" t="n">
        <v>75</v>
      </c>
      <c r="F34" s="11" t="s">
        <v>24</v>
      </c>
      <c r="G34" s="14" t="str">
        <f aca="false">IF(E34&gt;=B34-1.5,"PASS","FAIL")</f>
        <v>PASS</v>
      </c>
      <c r="H34" s="15" t="s">
        <v>43</v>
      </c>
      <c r="I34" s="16" t="str">
        <f aca="false">IF(AND(LEN(TRIM(A34&amp;""))&gt;0,TRIM(A34&amp;"")&lt;&gt;"—",LEN(TRIM(B34&amp;""))&gt;0,TRIM(B34&amp;"")&lt;&gt;"—",LEN(TRIM(G34&amp;""))&gt;0,TRIM(G34&amp;"")&lt;&gt;"—"),"PASS","⚠ FAIL — "&amp;"a required cell is empty/placeholder or wrong type")</f>
        <v>PASS</v>
      </c>
    </row>
    <row r="36" customFormat="false" ht="15" hidden="false" customHeight="false" outlineLevel="0" collapsed="false">
      <c r="A36" s="8" t="s">
        <v>44</v>
      </c>
      <c r="B36" s="8"/>
      <c r="C36" s="8"/>
      <c r="D36" s="8"/>
      <c r="E36" s="8"/>
      <c r="F36" s="8"/>
      <c r="G36" s="8"/>
    </row>
    <row r="37" customFormat="false" ht="15" hidden="false" customHeight="false" outlineLevel="0" collapsed="false">
      <c r="A37" s="17" t="s">
        <v>45</v>
      </c>
      <c r="B37" s="18" t="n">
        <v>339642</v>
      </c>
      <c r="D37" s="19" t="n">
        <v>42</v>
      </c>
      <c r="E37" s="20" t="s">
        <v>46</v>
      </c>
    </row>
    <row r="38" customFormat="false" ht="15" hidden="false" customHeight="false" outlineLevel="0" collapsed="false">
      <c r="A38" s="17" t="s">
        <v>47</v>
      </c>
      <c r="B38" s="18" t="n">
        <v>126172</v>
      </c>
      <c r="D38" s="19" t="n">
        <v>15.6</v>
      </c>
      <c r="E38" s="20" t="s">
        <v>48</v>
      </c>
    </row>
    <row r="39" customFormat="false" ht="15" hidden="false" customHeight="false" outlineLevel="0" collapsed="false">
      <c r="A39" s="17" t="s">
        <v>49</v>
      </c>
      <c r="B39" s="18" t="n">
        <v>107774</v>
      </c>
      <c r="D39" s="19" t="n">
        <v>13.3</v>
      </c>
      <c r="E39" s="20" t="s">
        <v>50</v>
      </c>
    </row>
    <row r="40" customFormat="false" ht="15" hidden="false" customHeight="false" outlineLevel="0" collapsed="false">
      <c r="A40" s="17" t="s">
        <v>51</v>
      </c>
      <c r="B40" s="18" t="n">
        <v>93229</v>
      </c>
      <c r="D40" s="19" t="n">
        <v>11.5</v>
      </c>
      <c r="E40" s="20" t="s">
        <v>50</v>
      </c>
    </row>
    <row r="41" customFormat="false" ht="15" hidden="false" customHeight="false" outlineLevel="0" collapsed="false">
      <c r="A41" s="17" t="s">
        <v>52</v>
      </c>
      <c r="B41" s="18" t="n">
        <v>65693</v>
      </c>
      <c r="D41" s="19" t="n">
        <v>8.1</v>
      </c>
      <c r="E41" s="20" t="s">
        <v>53</v>
      </c>
    </row>
    <row r="42" customFormat="false" ht="15" hidden="false" customHeight="false" outlineLevel="0" collapsed="false">
      <c r="A42" s="17" t="s">
        <v>54</v>
      </c>
      <c r="B42" s="18" t="n">
        <v>35295</v>
      </c>
      <c r="D42" s="19" t="n">
        <v>4.4</v>
      </c>
      <c r="E42" s="20" t="s">
        <v>55</v>
      </c>
    </row>
    <row r="43" customFormat="false" ht="15" hidden="false" customHeight="false" outlineLevel="0" collapsed="false">
      <c r="A43" s="17" t="s">
        <v>56</v>
      </c>
      <c r="B43" s="18" t="n">
        <v>30736</v>
      </c>
      <c r="D43" s="19" t="n">
        <v>3.8</v>
      </c>
      <c r="E43" s="20" t="s">
        <v>55</v>
      </c>
    </row>
    <row r="45" customFormat="false" ht="15" hidden="false" customHeight="false" outlineLevel="0" collapsed="false">
      <c r="A45" s="8" t="s">
        <v>57</v>
      </c>
      <c r="B45" s="8"/>
      <c r="C45" s="8"/>
      <c r="D45" s="8"/>
      <c r="E45" s="8"/>
      <c r="F45" s="8"/>
      <c r="G45" s="8"/>
    </row>
    <row r="46" customFormat="false" ht="15" hidden="false" customHeight="true" outlineLevel="0" collapsed="false">
      <c r="A46" s="17" t="s">
        <v>58</v>
      </c>
      <c r="B46" s="6" t="s">
        <v>59</v>
      </c>
      <c r="C46" s="6"/>
      <c r="D46" s="6"/>
      <c r="E46" s="6"/>
      <c r="F46" s="6"/>
      <c r="G46" s="6"/>
    </row>
    <row r="47" customFormat="false" ht="15" hidden="false" customHeight="true" outlineLevel="0" collapsed="false">
      <c r="A47" s="17" t="s">
        <v>60</v>
      </c>
      <c r="B47" s="6" t="s">
        <v>61</v>
      </c>
      <c r="C47" s="6"/>
      <c r="D47" s="6"/>
      <c r="E47" s="6"/>
      <c r="F47" s="6"/>
      <c r="G47" s="6"/>
    </row>
    <row r="48" customFormat="false" ht="15" hidden="false" customHeight="true" outlineLevel="0" collapsed="false">
      <c r="A48" s="17" t="s">
        <v>62</v>
      </c>
      <c r="B48" s="6" t="s">
        <v>63</v>
      </c>
      <c r="C48" s="6"/>
      <c r="D48" s="6"/>
      <c r="E48" s="6"/>
      <c r="F48" s="6"/>
      <c r="G48" s="6"/>
    </row>
    <row r="49" customFormat="false" ht="15" hidden="false" customHeight="true" outlineLevel="0" collapsed="false">
      <c r="A49" s="17" t="s">
        <v>64</v>
      </c>
      <c r="B49" s="6" t="s">
        <v>65</v>
      </c>
      <c r="C49" s="6"/>
      <c r="D49" s="6"/>
      <c r="E49" s="6"/>
      <c r="F49" s="6"/>
      <c r="G49" s="6"/>
    </row>
    <row r="50" customFormat="false" ht="15" hidden="false" customHeight="true" outlineLevel="0" collapsed="false">
      <c r="A50" s="17" t="s">
        <v>66</v>
      </c>
      <c r="B50" s="6" t="s">
        <v>67</v>
      </c>
      <c r="C50" s="6"/>
      <c r="D50" s="6"/>
      <c r="E50" s="6"/>
      <c r="F50" s="6"/>
      <c r="G50" s="6"/>
    </row>
    <row r="51" customFormat="false" ht="15" hidden="false" customHeight="true" outlineLevel="0" collapsed="false">
      <c r="A51" s="17" t="s">
        <v>68</v>
      </c>
      <c r="B51" s="6" t="s">
        <v>69</v>
      </c>
      <c r="C51" s="6"/>
      <c r="D51" s="6"/>
      <c r="E51" s="6"/>
      <c r="F51" s="6"/>
      <c r="G51" s="6"/>
    </row>
    <row r="53" customFormat="false" ht="15" hidden="false" customHeight="false" outlineLevel="0" collapsed="false">
      <c r="A53" s="8" t="s">
        <v>70</v>
      </c>
      <c r="B53" s="8"/>
      <c r="C53" s="8"/>
      <c r="D53" s="8"/>
      <c r="E53" s="8"/>
      <c r="F53" s="8"/>
      <c r="G53" s="8"/>
    </row>
    <row r="54" customFormat="false" ht="15" hidden="false" customHeight="false" outlineLevel="0" collapsed="false">
      <c r="A54" s="21" t="s">
        <v>71</v>
      </c>
      <c r="B54" s="21"/>
      <c r="C54" s="21"/>
      <c r="D54" s="21"/>
      <c r="E54" s="21"/>
      <c r="F54" s="21"/>
      <c r="G54" s="21"/>
    </row>
    <row r="55" customFormat="false" ht="15" hidden="false" customHeight="true" outlineLevel="0" collapsed="false">
      <c r="A55" s="6" t="s">
        <v>72</v>
      </c>
      <c r="B55" s="6"/>
      <c r="C55" s="6"/>
      <c r="D55" s="6"/>
      <c r="E55" s="6"/>
      <c r="F55" s="6"/>
      <c r="G55" s="6"/>
    </row>
    <row r="56" customFormat="false" ht="15" hidden="false" customHeight="false" outlineLevel="0" collapsed="false">
      <c r="A56" s="22" t="s">
        <v>73</v>
      </c>
      <c r="B56" s="22"/>
      <c r="C56" s="22"/>
      <c r="D56" s="22"/>
      <c r="E56" s="22"/>
      <c r="F56" s="22"/>
      <c r="G56" s="22"/>
    </row>
    <row r="57" customFormat="false" ht="15" hidden="false" customHeight="true" outlineLevel="0" collapsed="false">
      <c r="A57" s="6" t="s">
        <v>74</v>
      </c>
      <c r="B57" s="6"/>
      <c r="C57" s="6"/>
      <c r="D57" s="6"/>
      <c r="E57" s="6"/>
      <c r="F57" s="6"/>
      <c r="G57" s="6"/>
    </row>
    <row r="58" customFormat="false" ht="15" hidden="false" customHeight="false" outlineLevel="0" collapsed="false">
      <c r="A58" s="22" t="s">
        <v>75</v>
      </c>
      <c r="B58" s="22"/>
      <c r="C58" s="22"/>
      <c r="D58" s="22"/>
      <c r="E58" s="22"/>
      <c r="F58" s="22"/>
      <c r="G58" s="22"/>
    </row>
    <row r="59" customFormat="false" ht="15" hidden="false" customHeight="true" outlineLevel="0" collapsed="false">
      <c r="A59" s="6" t="s">
        <v>76</v>
      </c>
      <c r="B59" s="6"/>
      <c r="C59" s="6"/>
      <c r="D59" s="6"/>
      <c r="E59" s="6"/>
      <c r="F59" s="6"/>
      <c r="G59" s="6"/>
    </row>
    <row r="60" customFormat="false" ht="15" hidden="false" customHeight="false" outlineLevel="0" collapsed="false">
      <c r="A60" s="22" t="s">
        <v>77</v>
      </c>
      <c r="B60" s="22"/>
      <c r="C60" s="22"/>
      <c r="D60" s="22"/>
      <c r="E60" s="22"/>
      <c r="F60" s="22"/>
      <c r="G60" s="22"/>
    </row>
    <row r="61" customFormat="false" ht="15" hidden="false" customHeight="true" outlineLevel="0" collapsed="false">
      <c r="A61" s="6" t="s">
        <v>78</v>
      </c>
      <c r="B61" s="6"/>
      <c r="C61" s="6"/>
      <c r="D61" s="6"/>
      <c r="E61" s="6"/>
      <c r="F61" s="6"/>
      <c r="G61" s="6"/>
    </row>
    <row r="63" customFormat="false" ht="15" hidden="false" customHeight="false" outlineLevel="0" collapsed="false">
      <c r="A63" s="17" t="s">
        <v>79</v>
      </c>
    </row>
  </sheetData>
  <mergeCells count="28">
    <mergeCell ref="A1:G1"/>
    <mergeCell ref="A2:G2"/>
    <mergeCell ref="A3:G3"/>
    <mergeCell ref="A6:C6"/>
    <mergeCell ref="A9:C9"/>
    <mergeCell ref="A10:C10"/>
    <mergeCell ref="A13:C13"/>
    <mergeCell ref="A16:C16"/>
    <mergeCell ref="A17:C17"/>
    <mergeCell ref="A22:G24"/>
    <mergeCell ref="A26:G26"/>
    <mergeCell ref="A36:G36"/>
    <mergeCell ref="A45:G45"/>
    <mergeCell ref="B46:G46"/>
    <mergeCell ref="B47:G47"/>
    <mergeCell ref="B48:G48"/>
    <mergeCell ref="B49:G49"/>
    <mergeCell ref="B50:G50"/>
    <mergeCell ref="B51:G51"/>
    <mergeCell ref="A53:G53"/>
    <mergeCell ref="A54:G54"/>
    <mergeCell ref="A55:G55"/>
    <mergeCell ref="A56:G56"/>
    <mergeCell ref="A57:G57"/>
    <mergeCell ref="A58:G58"/>
    <mergeCell ref="A59:G59"/>
    <mergeCell ref="A60:G60"/>
    <mergeCell ref="A61:G61"/>
  </mergeCells>
  <conditionalFormatting sqref="G28:G34">
    <cfRule type="cellIs" priority="2" operator="equal" aboveAverage="0" equalAverage="0" bottom="0" percent="0" rank="0" text="" dxfId="0">
      <formula>"FAIL"</formula>
    </cfRule>
    <cfRule type="cellIs" priority="3" operator="equal" aboveAverage="0" equalAverage="0" bottom="0" percent="0" rank="0" text="" dxfId="1">
      <formula>"PASS"</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L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13"/>
    <col collapsed="false" customWidth="true" hidden="false" outlineLevel="0" max="2" min="2" style="0" width="34"/>
    <col collapsed="false" customWidth="true" hidden="false" outlineLevel="0" max="3" min="3" style="0" width="5"/>
    <col collapsed="false" customWidth="true" hidden="false" outlineLevel="0" max="4" min="4" style="0" width="15"/>
    <col collapsed="false" customWidth="true" hidden="false" outlineLevel="0" max="5" min="5" style="0" width="7"/>
    <col collapsed="false" customWidth="true" hidden="false" outlineLevel="0" max="6" min="6" style="0" width="13"/>
    <col collapsed="false" customWidth="true" hidden="false" outlineLevel="0" max="7" min="7" style="0" width="40"/>
    <col collapsed="false" customWidth="true" hidden="false" outlineLevel="0" max="8" min="8" style="0" width="26"/>
    <col collapsed="false" customWidth="true" hidden="false" outlineLevel="0" max="9" min="9" style="0" width="30"/>
    <col collapsed="false" customWidth="true" hidden="false" outlineLevel="0" max="10" min="10" style="0" width="13"/>
  </cols>
  <sheetData>
    <row r="1" customFormat="false" ht="25.5" hidden="false" customHeight="true" outlineLevel="0" collapsed="false">
      <c r="A1" s="1" t="s">
        <v>1602</v>
      </c>
      <c r="B1" s="1"/>
      <c r="C1" s="1"/>
      <c r="D1" s="1"/>
      <c r="E1" s="1"/>
      <c r="F1" s="1"/>
      <c r="G1" s="1"/>
      <c r="H1" s="1"/>
      <c r="I1" s="1"/>
      <c r="J1" s="24" t="s">
        <v>140</v>
      </c>
    </row>
    <row r="2" customFormat="false" ht="30" hidden="false" customHeight="true" outlineLevel="0" collapsed="false">
      <c r="A2" s="2" t="str">
        <f aca="false">"⬤ TAB QUALITY "&amp;IF(ISNUMBER('Quality &amp; Audit'!$B$51),IF('Quality &amp; Audit'!$B$51=INT('Quality &amp; Audit'!$B$51),TEXT('Quality &amp; Audit'!$B$51,"0"),TEXT('Quality &amp; Audit'!$B$51,"0.0")),"—")&amp;"/10 · "&amp;IF(ISNUMBER('Quality &amp; Audit'!$B$51),IF('Quality &amp; Audit'!$B$51&gt;=8,"PASS","FAIL"),"UNSCORED")&amp;" (target ≥8, live from the Quality &amp; Audit score cell)"&amp;" · drawing-register integrity: every registered A1 print PDF exists on disk + ISO 3098 2.5 mm lettering bar — registered drawings with their print set present 4/5; register…"&amp;" · full audit: Quality &amp; Audit tab"</f>
        <v>⬤ TAB QUALITY 8/10 · PASS (target ≥8, live from the Quality &amp; Audit score cell) · drawing-register integrity: every registered A1 print PDF exists on disk + ISO 3098 2.5 mm lettering bar — registered drawings with their print set present 4/5; register… · full audit: Quality &amp; Audit tab</v>
      </c>
      <c r="B2" s="2"/>
      <c r="C2" s="2"/>
      <c r="D2" s="2"/>
      <c r="E2" s="2"/>
      <c r="F2" s="2"/>
      <c r="G2" s="2"/>
      <c r="H2" s="2"/>
      <c r="I2" s="2"/>
    </row>
    <row r="3" customFormat="false" ht="40.5" hidden="false" customHeight="true" outlineLevel="0" collapsed="false">
      <c r="A3" s="3" t="s">
        <v>1603</v>
      </c>
      <c r="B3" s="3"/>
      <c r="C3" s="3"/>
      <c r="D3" s="3"/>
      <c r="E3" s="3"/>
      <c r="F3" s="3"/>
      <c r="G3" s="3"/>
      <c r="H3" s="3"/>
      <c r="I3" s="3"/>
    </row>
    <row r="4" customFormat="false" ht="26.1" hidden="false" customHeight="false" outlineLevel="0" collapsed="false">
      <c r="A4" s="9" t="s">
        <v>1604</v>
      </c>
      <c r="B4" s="9" t="s">
        <v>1605</v>
      </c>
      <c r="C4" s="9" t="s">
        <v>1606</v>
      </c>
      <c r="D4" s="9" t="s">
        <v>1607</v>
      </c>
      <c r="E4" s="9" t="s">
        <v>1608</v>
      </c>
      <c r="F4" s="9" t="s">
        <v>1609</v>
      </c>
      <c r="G4" s="9" t="s">
        <v>1610</v>
      </c>
      <c r="H4" s="9" t="s">
        <v>1611</v>
      </c>
      <c r="I4" s="9" t="s">
        <v>1612</v>
      </c>
      <c r="J4" s="67" t="s">
        <v>1613</v>
      </c>
      <c r="K4" s="67" t="s">
        <v>1614</v>
      </c>
      <c r="L4" s="10" t="s">
        <v>20</v>
      </c>
    </row>
    <row r="5" customFormat="false" ht="15" hidden="false" customHeight="false" outlineLevel="0" collapsed="false">
      <c r="A5" s="11" t="s">
        <v>1615</v>
      </c>
      <c r="B5" s="68" t="s">
        <v>1616</v>
      </c>
      <c r="C5" s="11" t="s">
        <v>1617</v>
      </c>
      <c r="D5" s="11" t="s">
        <v>1618</v>
      </c>
      <c r="E5" s="83" t="n">
        <v>1</v>
      </c>
      <c r="F5" s="11" t="s">
        <v>1619</v>
      </c>
      <c r="G5" s="15" t="s">
        <v>1620</v>
      </c>
      <c r="H5" s="23" t="s">
        <v>106</v>
      </c>
      <c r="I5" s="69" t="str">
        <f aca="false">IF(LEN(TRIM($K5&amp;""))&gt;0,"✗ MISSING on disk: "&amp;$K5,IF($J5&gt;0,"✓ "&amp;$J5&amp;" sheet PDF(s) on disk","✗ no sheet PDF found on disk"))</f>
        <v>✓ 1 sheet PDF(s) on disk</v>
      </c>
      <c r="J5" s="84" t="n">
        <v>1</v>
      </c>
      <c r="K5" s="70"/>
      <c r="L5" s="16" t="str">
        <f aca="false">IF(AND(LEN(TRIM(A5&amp;""))&gt;0,TRIM(A5&amp;"")&lt;&gt;"—",LEN(TRIM(B5&amp;""))&gt;0,TRIM(B5&amp;"")&lt;&gt;"—",LEN(TRIM(C5&amp;""))&gt;0,TRIM(C5&amp;"")&lt;&gt;"—",LEN(TRIM(G5&amp;""))&gt;0,TRIM(G5&amp;"")&lt;&gt;"—",LEN(TRIM(I5&amp;""))&gt;0,TRIM(I5&amp;"")&lt;&gt;"—"),"PASS","⚠ FAIL — "&amp;"a required cell is empty/placeholder or wrong type")</f>
        <v>PASS</v>
      </c>
    </row>
    <row r="6" customFormat="false" ht="174" hidden="false" customHeight="true" outlineLevel="0" collapsed="false">
      <c r="A6" s="11" t="s">
        <v>1621</v>
      </c>
      <c r="B6" s="68" t="s">
        <v>1622</v>
      </c>
      <c r="C6" s="11" t="s">
        <v>1617</v>
      </c>
      <c r="D6" s="11" t="s">
        <v>1623</v>
      </c>
      <c r="E6" s="83" t="n">
        <v>12</v>
      </c>
      <c r="F6" s="11" t="s">
        <v>1624</v>
      </c>
      <c r="G6" s="15" t="s">
        <v>1625</v>
      </c>
      <c r="H6" s="23" t="s">
        <v>102</v>
      </c>
      <c r="I6" s="69" t="str">
        <f aca="false">IF(LEN(TRIM($K6&amp;""))&gt;0,"✗ MISSING on disk: "&amp;$K6,IF($J6&gt;0,"✓ "&amp;$J6&amp;" sheet PDF(s) on disk","✗ no sheet PDF found on disk"))</f>
        <v>✓ 12 sheet PDF(s) on disk</v>
      </c>
      <c r="J6" s="84" t="n">
        <v>12</v>
      </c>
      <c r="K6" s="70"/>
      <c r="L6" s="16" t="str">
        <f aca="false">IF(AND(LEN(TRIM(A6&amp;""))&gt;0,TRIM(A6&amp;"")&lt;&gt;"—",LEN(TRIM(B6&amp;""))&gt;0,TRIM(B6&amp;"")&lt;&gt;"—",LEN(TRIM(C6&amp;""))&gt;0,TRIM(C6&amp;"")&lt;&gt;"—",LEN(TRIM(G6&amp;""))&gt;0,TRIM(G6&amp;"")&lt;&gt;"—",LEN(TRIM(I6&amp;""))&gt;0,TRIM(I6&amp;"")&lt;&gt;"—"),"PASS","⚠ FAIL — "&amp;"a required cell is empty/placeholder or wrong type")</f>
        <v>PASS</v>
      </c>
    </row>
    <row r="7" customFormat="false" ht="87" hidden="false" customHeight="true" outlineLevel="0" collapsed="false">
      <c r="A7" s="11" t="s">
        <v>1626</v>
      </c>
      <c r="B7" s="68" t="s">
        <v>1627</v>
      </c>
      <c r="C7" s="11" t="s">
        <v>1617</v>
      </c>
      <c r="D7" s="11" t="s">
        <v>1623</v>
      </c>
      <c r="E7" s="83" t="n">
        <v>6</v>
      </c>
      <c r="F7" s="11" t="s">
        <v>1628</v>
      </c>
      <c r="G7" s="15" t="s">
        <v>1629</v>
      </c>
      <c r="H7" s="23" t="s">
        <v>100</v>
      </c>
      <c r="I7" s="69" t="str">
        <f aca="false">IF(LEN(TRIM($K7&amp;""))&gt;0,"✗ MISSING on disk: "&amp;$K7,IF($J7&gt;0,"✓ "&amp;$J7&amp;" sheet PDF(s) on disk","✗ no sheet PDF found on disk"))</f>
        <v>✓ 6 sheet PDF(s) on disk</v>
      </c>
      <c r="J7" s="84" t="n">
        <v>6</v>
      </c>
      <c r="K7" s="70"/>
      <c r="L7" s="16" t="str">
        <f aca="false">IF(AND(LEN(TRIM(A7&amp;""))&gt;0,TRIM(A7&amp;"")&lt;&gt;"—",LEN(TRIM(B7&amp;""))&gt;0,TRIM(B7&amp;"")&lt;&gt;"—",LEN(TRIM(C7&amp;""))&gt;0,TRIM(C7&amp;"")&lt;&gt;"—",LEN(TRIM(G7&amp;""))&gt;0,TRIM(G7&amp;"")&lt;&gt;"—",LEN(TRIM(I7&amp;""))&gt;0,TRIM(I7&amp;"")&lt;&gt;"—"),"PASS","⚠ FAIL — "&amp;"a required cell is empty/placeholder or wrong type")</f>
        <v>PASS</v>
      </c>
    </row>
    <row r="8" customFormat="false" ht="15" hidden="false" customHeight="false" outlineLevel="0" collapsed="false">
      <c r="A8" s="11" t="s">
        <v>1630</v>
      </c>
      <c r="B8" s="68" t="s">
        <v>1631</v>
      </c>
      <c r="C8" s="11" t="s">
        <v>1617</v>
      </c>
      <c r="D8" s="11" t="s">
        <v>1623</v>
      </c>
      <c r="E8" s="83" t="n">
        <v>1</v>
      </c>
      <c r="F8" s="11" t="s">
        <v>1632</v>
      </c>
      <c r="G8" s="15" t="s">
        <v>1633</v>
      </c>
      <c r="H8" s="23" t="s">
        <v>110</v>
      </c>
      <c r="I8" s="69" t="str">
        <f aca="false">IF(LEN(TRIM($K8&amp;""))&gt;0,"✗ MISSING on disk: "&amp;$K8,IF($J8&gt;0,"✓ "&amp;$J8&amp;" sheet PDF(s) on disk","✗ no sheet PDF found on disk"))</f>
        <v>✓ 1 sheet PDF(s) on disk</v>
      </c>
      <c r="J8" s="84" t="n">
        <v>1</v>
      </c>
      <c r="K8" s="70"/>
      <c r="L8" s="16" t="str">
        <f aca="false">IF(AND(LEN(TRIM(A8&amp;""))&gt;0,TRIM(A8&amp;"")&lt;&gt;"—",LEN(TRIM(B8&amp;""))&gt;0,TRIM(B8&amp;"")&lt;&gt;"—",LEN(TRIM(C8&amp;""))&gt;0,TRIM(C8&amp;"")&lt;&gt;"—",LEN(TRIM(G8&amp;""))&gt;0,TRIM(G8&amp;"")&lt;&gt;"—",LEN(TRIM(I8&amp;""))&gt;0,TRIM(I8&amp;"")&lt;&gt;"—"),"PASS","⚠ FAIL — "&amp;"a required cell is empty/placeholder or wrong type")</f>
        <v>PASS</v>
      </c>
    </row>
    <row r="9" customFormat="false" ht="15" hidden="false" customHeight="false" outlineLevel="0" collapsed="false">
      <c r="A9" s="11" t="s">
        <v>1634</v>
      </c>
      <c r="B9" s="68" t="s">
        <v>1635</v>
      </c>
      <c r="C9" s="11" t="s">
        <v>1617</v>
      </c>
      <c r="D9" s="11" t="s">
        <v>1636</v>
      </c>
      <c r="E9" s="83" t="s">
        <v>480</v>
      </c>
      <c r="F9" s="11" t="s">
        <v>480</v>
      </c>
      <c r="G9" s="15" t="s">
        <v>1637</v>
      </c>
      <c r="H9" s="23" t="s">
        <v>108</v>
      </c>
      <c r="I9" s="85" t="s">
        <v>480</v>
      </c>
      <c r="J9" s="84" t="n">
        <v>0</v>
      </c>
      <c r="K9" s="70"/>
      <c r="L9" s="72" t="str">
        <f aca="false">IF(AND(LEN(TRIM(A9&amp;""))&gt;0,TRIM(A9&amp;"")&lt;&gt;"—",LEN(TRIM(B9&amp;""))&gt;0,TRIM(B9&amp;"")&lt;&gt;"—",LEN(TRIM(C9&amp;""))&gt;0,TRIM(C9&amp;"")&lt;&gt;"—",LEN(TRIM(G9&amp;""))&gt;0,TRIM(G9&amp;"")&lt;&gt;"—",LEN(TRIM(I9&amp;""))&gt;0,TRIM(I9&amp;"")&lt;&gt;"—",TRIM(I9&amp;"")&lt;&gt;"—"),"PASS","⚠ FAIL — "&amp;"'File check' placeholder '—'")</f>
        <v>⚠ FAIL — 'File check' placeholder '—'</v>
      </c>
    </row>
    <row r="11" customFormat="false" ht="15" hidden="false" customHeight="false" outlineLevel="0" collapsed="false">
      <c r="A11" s="8" t="s">
        <v>1638</v>
      </c>
      <c r="B11" s="8"/>
      <c r="C11" s="8"/>
      <c r="D11" s="8"/>
      <c r="E11" s="8"/>
      <c r="F11" s="8"/>
      <c r="G11" s="8"/>
      <c r="H11" s="8"/>
      <c r="I11" s="8"/>
    </row>
    <row r="12" customFormat="false" ht="15" hidden="false" customHeight="false" outlineLevel="0" collapsed="false">
      <c r="A12" s="9" t="s">
        <v>82</v>
      </c>
      <c r="B12" s="9" t="s">
        <v>1639</v>
      </c>
      <c r="C12" s="9" t="s">
        <v>1640</v>
      </c>
      <c r="D12" s="9" t="s">
        <v>1641</v>
      </c>
      <c r="E12" s="9"/>
      <c r="F12" s="9"/>
      <c r="G12" s="9"/>
      <c r="H12" s="9" t="s">
        <v>1611</v>
      </c>
      <c r="I12" s="9"/>
      <c r="J12" s="10" t="s">
        <v>20</v>
      </c>
    </row>
    <row r="13" customFormat="false" ht="28.5" hidden="false" customHeight="true" outlineLevel="0" collapsed="false">
      <c r="A13" s="11" t="n">
        <v>1</v>
      </c>
      <c r="B13" s="68" t="s">
        <v>193</v>
      </c>
      <c r="C13" s="86" t="s">
        <v>1642</v>
      </c>
      <c r="D13" s="6" t="s">
        <v>194</v>
      </c>
      <c r="E13" s="6"/>
      <c r="F13" s="6"/>
      <c r="G13" s="6"/>
      <c r="H13" s="23" t="s">
        <v>89</v>
      </c>
      <c r="J13" s="16" t="str">
        <f aca="false">IF(AND(LEN(TRIM(A13&amp;""))&gt;0,TRIM(A13&amp;"")&lt;&gt;"—",LEN(TRIM(B13&amp;""))&gt;0,TRIM(B13&amp;"")&lt;&gt;"—",LEN(TRIM(C13&amp;""))&gt;0,TRIM(C13&amp;"")&lt;&gt;"—"),"PASS","⚠ FAIL — "&amp;"a required cell is empty/placeholder or wrong type")</f>
        <v>PASS</v>
      </c>
    </row>
    <row r="14" customFormat="false" ht="28.5" hidden="false" customHeight="true" outlineLevel="0" collapsed="false">
      <c r="A14" s="11" t="n">
        <v>2</v>
      </c>
      <c r="B14" s="68" t="s">
        <v>195</v>
      </c>
      <c r="C14" s="86" t="s">
        <v>1643</v>
      </c>
      <c r="D14" s="6" t="s">
        <v>196</v>
      </c>
      <c r="E14" s="6"/>
      <c r="F14" s="6"/>
      <c r="G14" s="6"/>
      <c r="H14" s="23" t="s">
        <v>89</v>
      </c>
      <c r="J14" s="16" t="str">
        <f aca="false">IF(AND(LEN(TRIM(A14&amp;""))&gt;0,TRIM(A14&amp;"")&lt;&gt;"—",LEN(TRIM(B14&amp;""))&gt;0,TRIM(B14&amp;"")&lt;&gt;"—",LEN(TRIM(C14&amp;""))&gt;0,TRIM(C14&amp;"")&lt;&gt;"—"),"PASS","⚠ FAIL — "&amp;"a required cell is empty/placeholder or wrong type")</f>
        <v>PASS</v>
      </c>
    </row>
    <row r="15" customFormat="false" ht="28.5" hidden="false" customHeight="true" outlineLevel="0" collapsed="false">
      <c r="A15" s="11" t="n">
        <v>3</v>
      </c>
      <c r="B15" s="68" t="s">
        <v>1644</v>
      </c>
      <c r="C15" s="86" t="s">
        <v>1645</v>
      </c>
      <c r="D15" s="6" t="s">
        <v>1646</v>
      </c>
      <c r="E15" s="6"/>
      <c r="F15" s="6"/>
      <c r="G15" s="6"/>
      <c r="H15" s="11" t="s">
        <v>480</v>
      </c>
      <c r="J15" s="16" t="str">
        <f aca="false">IF(AND(LEN(TRIM(A15&amp;""))&gt;0,TRIM(A15&amp;"")&lt;&gt;"—",LEN(TRIM(B15&amp;""))&gt;0,TRIM(B15&amp;"")&lt;&gt;"—",LEN(TRIM(C15&amp;""))&gt;0,TRIM(C15&amp;"")&lt;&gt;"—"),"PASS","⚠ FAIL — "&amp;"a required cell is empty/placeholder or wrong type")</f>
        <v>PASS</v>
      </c>
    </row>
    <row r="16" customFormat="false" ht="28.5" hidden="false" customHeight="true" outlineLevel="0" collapsed="false">
      <c r="A16" s="11" t="n">
        <v>4</v>
      </c>
      <c r="B16" s="68" t="s">
        <v>1647</v>
      </c>
      <c r="C16" s="86" t="s">
        <v>1648</v>
      </c>
      <c r="D16" s="6" t="s">
        <v>1649</v>
      </c>
      <c r="E16" s="6"/>
      <c r="F16" s="6"/>
      <c r="G16" s="6"/>
      <c r="H16" s="11" t="s">
        <v>480</v>
      </c>
      <c r="J16" s="16" t="str">
        <f aca="false">IF(AND(LEN(TRIM(A16&amp;""))&gt;0,TRIM(A16&amp;"")&lt;&gt;"—",LEN(TRIM(B16&amp;""))&gt;0,TRIM(B16&amp;"")&lt;&gt;"—",LEN(TRIM(C16&amp;""))&gt;0,TRIM(C16&amp;"")&lt;&gt;"—"),"PASS","⚠ FAIL — "&amp;"a required cell is empty/placeholder or wrong type")</f>
        <v>PASS</v>
      </c>
    </row>
    <row r="17" customFormat="false" ht="28.5" hidden="false" customHeight="true" outlineLevel="0" collapsed="false">
      <c r="A17" s="11" t="n">
        <v>5</v>
      </c>
      <c r="B17" s="68" t="s">
        <v>197</v>
      </c>
      <c r="C17" s="86" t="s">
        <v>1650</v>
      </c>
      <c r="D17" s="6" t="s">
        <v>198</v>
      </c>
      <c r="E17" s="6"/>
      <c r="F17" s="6"/>
      <c r="G17" s="6"/>
      <c r="H17" s="23" t="s">
        <v>89</v>
      </c>
      <c r="J17" s="16" t="str">
        <f aca="false">IF(AND(LEN(TRIM(A17&amp;""))&gt;0,TRIM(A17&amp;"")&lt;&gt;"—",LEN(TRIM(B17&amp;""))&gt;0,TRIM(B17&amp;"")&lt;&gt;"—",LEN(TRIM(C17&amp;""))&gt;0,TRIM(C17&amp;"")&lt;&gt;"—"),"PASS","⚠ FAIL — "&amp;"a required cell is empty/placeholder or wrong type")</f>
        <v>PASS</v>
      </c>
    </row>
    <row r="18" customFormat="false" ht="28.5" hidden="false" customHeight="true" outlineLevel="0" collapsed="false">
      <c r="A18" s="11" t="n">
        <v>6</v>
      </c>
      <c r="B18" s="68" t="s">
        <v>1651</v>
      </c>
      <c r="C18" s="86" t="s">
        <v>1652</v>
      </c>
      <c r="D18" s="6" t="s">
        <v>1653</v>
      </c>
      <c r="E18" s="6"/>
      <c r="F18" s="6"/>
      <c r="G18" s="6"/>
      <c r="H18" s="11" t="s">
        <v>480</v>
      </c>
      <c r="J18" s="16" t="str">
        <f aca="false">IF(AND(LEN(TRIM(A18&amp;""))&gt;0,TRIM(A18&amp;"")&lt;&gt;"—",LEN(TRIM(B18&amp;""))&gt;0,TRIM(B18&amp;"")&lt;&gt;"—",LEN(TRIM(C18&amp;""))&gt;0,TRIM(C18&amp;"")&lt;&gt;"—"),"PASS","⚠ FAIL — "&amp;"a required cell is empty/placeholder or wrong type")</f>
        <v>PASS</v>
      </c>
    </row>
    <row r="19" customFormat="false" ht="28.5" hidden="false" customHeight="true" outlineLevel="0" collapsed="false">
      <c r="A19" s="11" t="n">
        <v>7</v>
      </c>
      <c r="B19" s="68" t="s">
        <v>199</v>
      </c>
      <c r="C19" s="86" t="s">
        <v>1654</v>
      </c>
      <c r="D19" s="6" t="s">
        <v>200</v>
      </c>
      <c r="E19" s="6"/>
      <c r="F19" s="6"/>
      <c r="G19" s="6"/>
      <c r="H19" s="23" t="s">
        <v>89</v>
      </c>
      <c r="J19" s="16" t="str">
        <f aca="false">IF(AND(LEN(TRIM(A19&amp;""))&gt;0,TRIM(A19&amp;"")&lt;&gt;"—",LEN(TRIM(B19&amp;""))&gt;0,TRIM(B19&amp;"")&lt;&gt;"—",LEN(TRIM(C19&amp;""))&gt;0,TRIM(C19&amp;"")&lt;&gt;"—"),"PASS","⚠ FAIL — "&amp;"a required cell is empty/placeholder or wrong type")</f>
        <v>PASS</v>
      </c>
    </row>
    <row r="20" customFormat="false" ht="28.5" hidden="false" customHeight="true" outlineLevel="0" collapsed="false">
      <c r="A20" s="11" t="n">
        <v>8</v>
      </c>
      <c r="B20" s="68" t="s">
        <v>1655</v>
      </c>
      <c r="C20" s="86" t="s">
        <v>1656</v>
      </c>
      <c r="D20" s="6" t="s">
        <v>1657</v>
      </c>
      <c r="E20" s="6"/>
      <c r="F20" s="6"/>
      <c r="G20" s="6"/>
      <c r="H20" s="11" t="s">
        <v>480</v>
      </c>
      <c r="J20" s="16" t="str">
        <f aca="false">IF(AND(LEN(TRIM(A20&amp;""))&gt;0,TRIM(A20&amp;"")&lt;&gt;"—",LEN(TRIM(B20&amp;""))&gt;0,TRIM(B20&amp;"")&lt;&gt;"—",LEN(TRIM(C20&amp;""))&gt;0,TRIM(C20&amp;"")&lt;&gt;"—"),"PASS","⚠ FAIL — "&amp;"a required cell is empty/placeholder or wrong type")</f>
        <v>PASS</v>
      </c>
    </row>
  </sheetData>
  <mergeCells count="12">
    <mergeCell ref="A1:I1"/>
    <mergeCell ref="A2:I2"/>
    <mergeCell ref="A3:I3"/>
    <mergeCell ref="A11:I11"/>
    <mergeCell ref="D13:G13"/>
    <mergeCell ref="D14:G14"/>
    <mergeCell ref="D15:G15"/>
    <mergeCell ref="D16:G16"/>
    <mergeCell ref="D17:G17"/>
    <mergeCell ref="D18:G18"/>
    <mergeCell ref="D19:G19"/>
    <mergeCell ref="D20:G20"/>
  </mergeCells>
  <conditionalFormatting sqref="I5:I9">
    <cfRule type="cellIs" priority="2" operator="equal" aboveAverage="0" equalAverage="0" bottom="0" percent="0" rank="0" text="" dxfId="1">
      <formula>"PASS"</formula>
    </cfRule>
  </conditionalFormatting>
  <hyperlinks>
    <hyperlink ref="J1" location="'Contents'!A1" display="↑ Contents"/>
    <hyperlink ref="H5" location="'GA — General Arrangement'!A1" display="GA — General Arrangement"/>
    <hyperlink ref="H6" location="'P&amp;ID'!A1" display="P&amp;ID"/>
    <hyperlink ref="H7" location="'BFD — Block Flow'!A1" display="BFD — Block Flow"/>
    <hyperlink ref="H8" location="'Electrical'!A1" display="Electrical"/>
    <hyperlink ref="H9" location="'HVAC'!A1" display="HVAC"/>
    <hyperlink ref="H13" location="'Renders'!A1" display="Renders"/>
    <hyperlink ref="H14" location="'Renders'!A1" display="Renders"/>
    <hyperlink ref="H17" location="'Renders'!A1" display="Renders"/>
    <hyperlink ref="H19" location="'Renders'!A1" display="Render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G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7" min="7" style="0" width="13"/>
  </cols>
  <sheetData>
    <row r="1" customFormat="false" ht="25.5" hidden="false" customHeight="true" outlineLevel="0" collapsed="false">
      <c r="A1" s="1" t="s">
        <v>100</v>
      </c>
      <c r="B1" s="1"/>
      <c r="C1" s="1"/>
      <c r="D1" s="1"/>
      <c r="E1" s="1"/>
      <c r="F1" s="1"/>
      <c r="G1" s="24" t="s">
        <v>140</v>
      </c>
    </row>
    <row r="2" customFormat="false" ht="30" hidden="false" customHeight="true" outlineLevel="0" collapsed="false">
      <c r="A2" s="2" t="str">
        <f aca="false">"⬤ TAB QUALITY "&amp;IF(ISNUMBER('Quality &amp; Audit'!$B$49),IF('Quality &amp; Audit'!$B$49=INT('Quality &amp; Audit'!$B$49),TEXT('Quality &amp; Audit'!$B$49,"0"),TEXT('Quality &amp; Audit'!$B$49,"0.0")),"—")&amp;"/10 · "&amp;IF(ISNUMBER('Quality &amp; Audit'!$B$49),IF('Quality &amp; Audit'!$B$49&gt;=8,"PASS","FAIL"),"UNSCORED")&amp;" (target ≥8, live from the Quality &amp; Audit score cell)"&amp;" · block-flow part-coverage arithmetic (parts_ledger) — drawing part coverage (block-flow-diagram) 16/18 · score = min over checks of 10 × passed/checked"&amp;" · full audit: Quality &amp; Audit tab"</f>
        <v>⬤ TAB QUALITY 8.9/10 · PASS (target ≥8, live from the Quality &amp; Audit score cell) · block-flow part-coverage arithmetic (parts_ledger) — drawing part coverage (block-flow-diagram) 16/18 · score = min over checks of 10 × passed/checked · full audit: Quality &amp; Audit tab</v>
      </c>
      <c r="B2" s="2"/>
      <c r="C2" s="2"/>
      <c r="D2" s="2"/>
      <c r="E2" s="2"/>
      <c r="F2" s="2"/>
    </row>
    <row r="3" customFormat="false" ht="27.75" hidden="false" customHeight="true" outlineLevel="0" collapsed="false">
      <c r="A3" s="3" t="s">
        <v>1658</v>
      </c>
      <c r="B3" s="3"/>
      <c r="C3" s="3"/>
      <c r="D3" s="3"/>
      <c r="E3" s="3"/>
      <c r="F3" s="3"/>
    </row>
    <row r="5" customFormat="false" ht="30" hidden="false" customHeight="true" outlineLevel="0" collapsed="false">
      <c r="A5" s="87" t="s">
        <v>1659</v>
      </c>
      <c r="B5" s="87"/>
      <c r="C5" s="87"/>
      <c r="D5" s="87"/>
      <c r="E5" s="87"/>
      <c r="F5" s="87"/>
    </row>
  </sheetData>
  <mergeCells count="4">
    <mergeCell ref="A1:F1"/>
    <mergeCell ref="A2:F2"/>
    <mergeCell ref="A3:F3"/>
    <mergeCell ref="A5:F5"/>
  </mergeCells>
  <hyperlinks>
    <hyperlink ref="G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G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7" min="7" style="0" width="13"/>
  </cols>
  <sheetData>
    <row r="1" customFormat="false" ht="25.5" hidden="false" customHeight="true" outlineLevel="0" collapsed="false">
      <c r="A1" s="1" t="s">
        <v>102</v>
      </c>
      <c r="B1" s="1"/>
      <c r="C1" s="1"/>
      <c r="D1" s="1"/>
      <c r="E1" s="1"/>
      <c r="F1" s="1"/>
      <c r="G1" s="24" t="s">
        <v>140</v>
      </c>
    </row>
    <row r="2" customFormat="false" ht="30" hidden="false" customHeight="true" outlineLevel="0" collapsed="false">
      <c r="A2" s="2" t="str">
        <f aca="false">"⬤ TAB QUALITY "&amp;IF(ISNUMBER('Quality &amp; Audit'!$B$48),IF('Quality &amp; Audit'!$B$48=INT('Quality &amp; Audit'!$B$48),TEXT('Quality &amp; Audit'!$B$48,"0"),TEXT('Quality &amp; Audit'!$B$48,"0.0")),"—")&amp;"/10 · "&amp;IF(ISNUMBER('Quality &amp; Audit'!$B$48),IF('Quality &amp; Audit'!$B$48&gt;=8,"PASS","FAIL"),"UNSCORED")&amp;" (target ≥8, live from the Quality &amp; Audit score cell)"&amp;" · P&amp;ID part-coverage arithmetic (parts_ledger ✓/✗ vs the BoM) — drawing part coverage (pid) 38/42 · score = min over checks of 10 × passed/checked"&amp;" · full audit: Quality &amp; Audit tab"</f>
        <v>⬤ TAB QUALITY 9/10 · PASS (target ≥8, live from the Quality &amp; Audit score cell) · P&amp;ID part-coverage arithmetic (parts_ledger ✓/✗ vs the BoM) — drawing part coverage (pid) 38/42 · score = min over checks of 10 × passed/checked · full audit: Quality &amp; Audit tab</v>
      </c>
      <c r="B2" s="2"/>
      <c r="C2" s="2"/>
      <c r="D2" s="2"/>
      <c r="E2" s="2"/>
      <c r="F2" s="2"/>
    </row>
    <row r="3" customFormat="false" ht="27.75" hidden="false" customHeight="true" outlineLevel="0" collapsed="false">
      <c r="A3" s="3" t="s">
        <v>1660</v>
      </c>
      <c r="B3" s="3"/>
      <c r="C3" s="3"/>
      <c r="D3" s="3"/>
      <c r="E3" s="3"/>
      <c r="F3" s="3"/>
    </row>
    <row r="5" customFormat="false" ht="30" hidden="false" customHeight="true" outlineLevel="0" collapsed="false">
      <c r="A5" s="87" t="s">
        <v>1661</v>
      </c>
      <c r="B5" s="87"/>
      <c r="C5" s="87"/>
      <c r="D5" s="87"/>
      <c r="E5" s="87"/>
      <c r="F5" s="87"/>
    </row>
  </sheetData>
  <mergeCells count="4">
    <mergeCell ref="A1:F1"/>
    <mergeCell ref="A2:F2"/>
    <mergeCell ref="A3:F3"/>
    <mergeCell ref="A5:F5"/>
  </mergeCells>
  <hyperlinks>
    <hyperlink ref="G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J6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16"/>
    <col collapsed="false" customWidth="true" hidden="false" outlineLevel="0" max="2" min="2" style="0" width="14"/>
    <col collapsed="false" customWidth="true" hidden="false" outlineLevel="0" max="4" min="3" style="0" width="54"/>
    <col collapsed="false" customWidth="true" hidden="false" outlineLevel="0" max="9" min="5" style="0" width="14"/>
    <col collapsed="false" customWidth="true" hidden="false" outlineLevel="0" max="10" min="10" style="0" width="13"/>
  </cols>
  <sheetData>
    <row r="1" customFormat="false" ht="25.5" hidden="false" customHeight="true" outlineLevel="0" collapsed="false">
      <c r="A1" s="1" t="s">
        <v>104</v>
      </c>
      <c r="B1" s="1"/>
      <c r="C1" s="1"/>
      <c r="D1" s="1"/>
      <c r="E1" s="1"/>
      <c r="F1" s="1"/>
      <c r="G1" s="1"/>
      <c r="H1" s="1"/>
      <c r="I1" s="1"/>
      <c r="J1" s="24" t="s">
        <v>140</v>
      </c>
    </row>
    <row r="2" customFormat="false" ht="30" hidden="false" customHeight="true" outlineLevel="0" collapsed="false">
      <c r="A2" s="2" t="str">
        <f aca="false">"⬤ TAB QUALITY "&amp;IF(ISNUMBER('Quality &amp; Audit'!$B$38),IF('Quality &amp; Audit'!$B$38=INT('Quality &amp; Audit'!$B$38),TEXT('Quality &amp; Audit'!$B$38,"0"),TEXT('Quality &amp; Audit'!$B$38,"0.0")),"—")&amp;"/10 · "&amp;IF(ISNUMBER('Quality &amp; Audit'!$B$38),IF('Quality &amp; Audit'!$B$38&gt;=8,"PASS","FAIL"),"UNSCORED")&amp;" (target ≥8, live from the Quality &amp; Audit score cell)"&amp;" · schedule column contract (per-cell completeness + type over every schedule row, from the drawings/*.md source) — cell completeness+type contract 369/454 · score = min ov…"&amp;" · full audit: Quality &amp; Audit tab"</f>
        <v>⬤ TAB QUALITY 8/10 · PASS (target ≥8, live from the Quality &amp; Audit score cell) · schedule column contract (per-cell completeness + type over every schedule row, from the drawings/*.md source) — cell completeness+type contract 369/454 · score = min ov… · full audit: Quality &amp; Audit tab</v>
      </c>
      <c r="B2" s="2"/>
      <c r="C2" s="2"/>
      <c r="D2" s="2"/>
      <c r="E2" s="2"/>
      <c r="F2" s="2"/>
      <c r="G2" s="2"/>
      <c r="H2" s="2"/>
      <c r="I2" s="2"/>
    </row>
    <row r="3" customFormat="false" ht="40.5" hidden="false" customHeight="true" outlineLevel="0" collapsed="false">
      <c r="A3" s="3" t="s">
        <v>1662</v>
      </c>
      <c r="B3" s="3"/>
      <c r="C3" s="3"/>
      <c r="D3" s="3"/>
      <c r="E3" s="3"/>
      <c r="F3" s="3"/>
      <c r="G3" s="3"/>
      <c r="H3" s="3"/>
      <c r="I3" s="3"/>
    </row>
    <row r="4" customFormat="false" ht="15" hidden="false" customHeight="false" outlineLevel="0" collapsed="false">
      <c r="A4" s="8" t="s">
        <v>1663</v>
      </c>
      <c r="B4" s="8"/>
      <c r="C4" s="8"/>
      <c r="D4" s="8"/>
      <c r="E4" s="8"/>
      <c r="F4" s="8"/>
      <c r="G4" s="8"/>
      <c r="H4" s="8"/>
      <c r="I4" s="8"/>
    </row>
    <row r="5" customFormat="false" ht="57.75" hidden="false" customHeight="true" outlineLevel="0" collapsed="false">
      <c r="A5" s="88" t="s">
        <v>1664</v>
      </c>
      <c r="B5" s="6" t="s">
        <v>1665</v>
      </c>
      <c r="C5" s="6"/>
      <c r="D5" s="6"/>
      <c r="E5" s="6"/>
      <c r="F5" s="6"/>
      <c r="G5" s="6"/>
      <c r="H5" s="6"/>
      <c r="I5" s="6"/>
    </row>
    <row r="7" customFormat="false" ht="15" hidden="false" customHeight="false" outlineLevel="0" collapsed="false">
      <c r="A7" s="8" t="s">
        <v>1666</v>
      </c>
      <c r="B7" s="8"/>
      <c r="C7" s="8"/>
      <c r="D7" s="8"/>
      <c r="E7" s="8"/>
      <c r="F7" s="8"/>
      <c r="G7" s="8"/>
      <c r="H7" s="8"/>
    </row>
    <row r="8" customFormat="false" ht="15" hidden="false" customHeight="false" outlineLevel="0" collapsed="false">
      <c r="A8" s="9" t="s">
        <v>406</v>
      </c>
      <c r="B8" s="9" t="s">
        <v>1667</v>
      </c>
      <c r="C8" s="9" t="s">
        <v>1668</v>
      </c>
      <c r="D8" s="9" t="s">
        <v>1669</v>
      </c>
      <c r="E8" s="9" t="s">
        <v>1670</v>
      </c>
      <c r="F8" s="9" t="s">
        <v>1671</v>
      </c>
      <c r="G8" s="9" t="s">
        <v>1672</v>
      </c>
      <c r="H8" s="9" t="s">
        <v>102</v>
      </c>
      <c r="I8" s="10" t="s">
        <v>20</v>
      </c>
    </row>
    <row r="9" customFormat="false" ht="28.5" hidden="false" customHeight="true" outlineLevel="0" collapsed="false">
      <c r="A9" s="68" t="s">
        <v>1673</v>
      </c>
      <c r="B9" s="68" t="s">
        <v>1674</v>
      </c>
      <c r="C9" s="68" t="str">
        <f aca="false">'Part names'!$B$10</f>
        <v>Check Valve</v>
      </c>
      <c r="D9" s="68" t="s">
        <v>1675</v>
      </c>
      <c r="E9" s="68" t="s">
        <v>480</v>
      </c>
      <c r="F9" s="68" t="s">
        <v>480</v>
      </c>
      <c r="G9" s="68" t="s">
        <v>480</v>
      </c>
      <c r="H9" s="68" t="s">
        <v>1676</v>
      </c>
      <c r="I9" s="72" t="str">
        <f aca="false">IF(AND(LEN(TRIM(A9&amp;""))&gt;0,TRIM(A9&amp;"")&lt;&gt;"—",LEN(TRIM(B9&amp;""))&gt;0,TRIM(B9&amp;"")&lt;&gt;"—",LEN(TRIM(C9&amp;""))&gt;0,TRIM(C9&amp;"")&lt;&gt;"—",LEN(TRIM(D9&amp;""))&gt;0,TRIM(D9&amp;"")&lt;&gt;"—",LEN(TRIM(E9&amp;""))&gt;0,TRIM(E9&amp;"")&lt;&gt;"—",TRIM(E9&amp;"")&lt;&gt;"—",LEN(TRIM(F9&amp;""))&gt;0,TRIM(F9&amp;"")&lt;&gt;"—",TRIM(F9&amp;"")&lt;&gt;"—",LEN(TRIM(G9&amp;""))&gt;0,TRIM(G9&amp;"")&lt;&gt;"—",TRIM(G9&amp;"")&lt;&gt;"—",LEN(TRIM(H9&amp;""))&gt;0,TRIM(H9&amp;"")&lt;&gt;"—"),"PASS","⚠ FAIL — "&amp;"'Size' placeholder '—'; 'Set / Cv' placeholder '—' +1 more")</f>
        <v>⚠ FAIL — 'Size' placeholder '—'; 'Set / Cv' placeholder '—' +1 more</v>
      </c>
    </row>
    <row r="10" customFormat="false" ht="23.85" hidden="false" customHeight="false" outlineLevel="0" collapsed="false">
      <c r="A10" s="68" t="s">
        <v>1677</v>
      </c>
      <c r="B10" s="68" t="s">
        <v>1678</v>
      </c>
      <c r="C10" s="68" t="s">
        <v>1679</v>
      </c>
      <c r="D10" s="68" t="s">
        <v>1680</v>
      </c>
      <c r="E10" s="68" t="s">
        <v>1681</v>
      </c>
      <c r="F10" s="68" t="s">
        <v>1682</v>
      </c>
      <c r="G10" s="68" t="s">
        <v>1683</v>
      </c>
      <c r="H10" s="68" t="s">
        <v>1676</v>
      </c>
      <c r="I10" s="16" t="str">
        <f aca="false">IF(AND(LEN(TRIM(A10&amp;""))&gt;0,TRIM(A10&amp;"")&lt;&gt;"—",LEN(TRIM(B10&amp;""))&gt;0,TRIM(B10&amp;"")&lt;&gt;"—",LEN(TRIM(C10&amp;""))&gt;0,TRIM(C10&amp;"")&lt;&gt;"—",LEN(TRIM(D10&amp;""))&gt;0,TRIM(D10&amp;"")&lt;&gt;"—",LEN(TRIM(E10&amp;""))&gt;0,TRIM(E10&amp;"")&lt;&gt;"—",LEN(TRIM(F10&amp;""))&gt;0,TRIM(F10&amp;"")&lt;&gt;"—",LEN(TRIM(G10&amp;""))&gt;0,TRIM(G10&amp;"")&lt;&gt;"—",LEN(TRIM(H10&amp;""))&gt;0,TRIM(H10&amp;"")&lt;&gt;"—"),"PASS","⚠ FAIL — "&amp;"a required cell is empty/placeholder or wrong type")</f>
        <v>PASS</v>
      </c>
    </row>
    <row r="11" customFormat="false" ht="28.5" hidden="false" customHeight="true" outlineLevel="0" collapsed="false">
      <c r="A11" s="68" t="s">
        <v>1684</v>
      </c>
      <c r="B11" s="68" t="s">
        <v>1685</v>
      </c>
      <c r="C11" s="68" t="s">
        <v>1686</v>
      </c>
      <c r="D11" s="68" t="str">
        <f aca="false">'Part names'!$A$87</f>
        <v>V-106</v>
      </c>
      <c r="E11" s="68" t="s">
        <v>1687</v>
      </c>
      <c r="F11" s="68" t="s">
        <v>480</v>
      </c>
      <c r="G11" s="68" t="s">
        <v>480</v>
      </c>
      <c r="H11" s="68" t="s">
        <v>1676</v>
      </c>
      <c r="I11" s="72" t="str">
        <f aca="false">IF(AND(LEN(TRIM(A11&amp;""))&gt;0,TRIM(A11&amp;"")&lt;&gt;"—",LEN(TRIM(B11&amp;""))&gt;0,TRIM(B11&amp;"")&lt;&gt;"—",LEN(TRIM(C11&amp;""))&gt;0,TRIM(C11&amp;"")&lt;&gt;"—",LEN(TRIM(D11&amp;""))&gt;0,TRIM(D11&amp;"")&lt;&gt;"—",LEN(TRIM(E11&amp;""))&gt;0,TRIM(E11&amp;"")&lt;&gt;"—",LEN(TRIM(F11&amp;""))&gt;0,TRIM(F11&amp;"")&lt;&gt;"—",TRIM(F11&amp;"")&lt;&gt;"—",LEN(TRIM(G11&amp;""))&gt;0,TRIM(G11&amp;"")&lt;&gt;"—",TRIM(G11&amp;"")&lt;&gt;"—",LEN(TRIM(H11&amp;""))&gt;0,TRIM(H11&amp;"")&lt;&gt;"—"),"PASS","⚠ FAIL — "&amp;"'Set / Cv' placeholder '—'; 'Fail' placeholder '—'")</f>
        <v>⚠ FAIL — 'Set / Cv' placeholder '—'; 'Fail' placeholder '—'</v>
      </c>
    </row>
    <row r="12" customFormat="false" ht="28.5" hidden="false" customHeight="true" outlineLevel="0" collapsed="false">
      <c r="A12" s="68" t="s">
        <v>1688</v>
      </c>
      <c r="B12" s="68" t="s">
        <v>1689</v>
      </c>
      <c r="C12" s="68" t="s">
        <v>1690</v>
      </c>
      <c r="D12" s="68" t="s">
        <v>1691</v>
      </c>
      <c r="E12" s="68" t="s">
        <v>480</v>
      </c>
      <c r="F12" s="68" t="s">
        <v>480</v>
      </c>
      <c r="G12" s="68" t="s">
        <v>480</v>
      </c>
      <c r="H12" s="68" t="s">
        <v>1676</v>
      </c>
      <c r="I12" s="72" t="str">
        <f aca="false">IF(AND(LEN(TRIM(A12&amp;""))&gt;0,TRIM(A12&amp;"")&lt;&gt;"—",LEN(TRIM(B12&amp;""))&gt;0,TRIM(B12&amp;"")&lt;&gt;"—",LEN(TRIM(C12&amp;""))&gt;0,TRIM(C12&amp;"")&lt;&gt;"—",LEN(TRIM(D12&amp;""))&gt;0,TRIM(D12&amp;"")&lt;&gt;"—",LEN(TRIM(E12&amp;""))&gt;0,TRIM(E12&amp;"")&lt;&gt;"—",TRIM(E12&amp;"")&lt;&gt;"—",LEN(TRIM(F12&amp;""))&gt;0,TRIM(F12&amp;"")&lt;&gt;"—",TRIM(F12&amp;"")&lt;&gt;"—",LEN(TRIM(G12&amp;""))&gt;0,TRIM(G12&amp;"")&lt;&gt;"—",TRIM(G12&amp;"")&lt;&gt;"—",LEN(TRIM(H12&amp;""))&gt;0,TRIM(H12&amp;"")&lt;&gt;"—"),"PASS","⚠ FAIL — "&amp;"'Size' placeholder '—'; 'Set / Cv' placeholder '—' +1 more")</f>
        <v>⚠ FAIL — 'Size' placeholder '—'; 'Set / Cv' placeholder '—' +1 more</v>
      </c>
    </row>
    <row r="13" customFormat="false" ht="28.5" hidden="false" customHeight="true" outlineLevel="0" collapsed="false">
      <c r="A13" s="68" t="s">
        <v>1692</v>
      </c>
      <c r="B13" s="68" t="s">
        <v>1689</v>
      </c>
      <c r="C13" s="68" t="s">
        <v>1693</v>
      </c>
      <c r="D13" s="68" t="s">
        <v>1694</v>
      </c>
      <c r="E13" s="68" t="s">
        <v>480</v>
      </c>
      <c r="F13" s="68" t="s">
        <v>480</v>
      </c>
      <c r="G13" s="68" t="s">
        <v>480</v>
      </c>
      <c r="H13" s="68" t="s">
        <v>1676</v>
      </c>
      <c r="I13" s="72" t="str">
        <f aca="false">IF(AND(LEN(TRIM(A13&amp;""))&gt;0,TRIM(A13&amp;"")&lt;&gt;"—",LEN(TRIM(B13&amp;""))&gt;0,TRIM(B13&amp;"")&lt;&gt;"—",LEN(TRIM(C13&amp;""))&gt;0,TRIM(C13&amp;"")&lt;&gt;"—",LEN(TRIM(D13&amp;""))&gt;0,TRIM(D13&amp;"")&lt;&gt;"—",LEN(TRIM(E13&amp;""))&gt;0,TRIM(E13&amp;"")&lt;&gt;"—",TRIM(E13&amp;"")&lt;&gt;"—",LEN(TRIM(F13&amp;""))&gt;0,TRIM(F13&amp;"")&lt;&gt;"—",TRIM(F13&amp;"")&lt;&gt;"—",LEN(TRIM(G13&amp;""))&gt;0,TRIM(G13&amp;"")&lt;&gt;"—",TRIM(G13&amp;"")&lt;&gt;"—",LEN(TRIM(H13&amp;""))&gt;0,TRIM(H13&amp;"")&lt;&gt;"—"),"PASS","⚠ FAIL — "&amp;"'Size' placeholder '—'; 'Set / Cv' placeholder '—' +1 more")</f>
        <v>⚠ FAIL — 'Size' placeholder '—'; 'Set / Cv' placeholder '—' +1 more</v>
      </c>
    </row>
    <row r="14" customFormat="false" ht="28.5" hidden="false" customHeight="true" outlineLevel="0" collapsed="false">
      <c r="A14" s="68" t="s">
        <v>1695</v>
      </c>
      <c r="B14" s="68" t="s">
        <v>1674</v>
      </c>
      <c r="C14" s="68" t="s">
        <v>1696</v>
      </c>
      <c r="D14" s="68" t="s">
        <v>1697</v>
      </c>
      <c r="E14" s="68" t="s">
        <v>480</v>
      </c>
      <c r="F14" s="68" t="s">
        <v>480</v>
      </c>
      <c r="G14" s="68" t="s">
        <v>480</v>
      </c>
      <c r="H14" s="68" t="s">
        <v>1676</v>
      </c>
      <c r="I14" s="72" t="str">
        <f aca="false">IF(AND(LEN(TRIM(A14&amp;""))&gt;0,TRIM(A14&amp;"")&lt;&gt;"—",LEN(TRIM(B14&amp;""))&gt;0,TRIM(B14&amp;"")&lt;&gt;"—",LEN(TRIM(C14&amp;""))&gt;0,TRIM(C14&amp;"")&lt;&gt;"—",LEN(TRIM(D14&amp;""))&gt;0,TRIM(D14&amp;"")&lt;&gt;"—",LEN(TRIM(E14&amp;""))&gt;0,TRIM(E14&amp;"")&lt;&gt;"—",TRIM(E14&amp;"")&lt;&gt;"—",LEN(TRIM(F14&amp;""))&gt;0,TRIM(F14&amp;"")&lt;&gt;"—",TRIM(F14&amp;"")&lt;&gt;"—",LEN(TRIM(G14&amp;""))&gt;0,TRIM(G14&amp;"")&lt;&gt;"—",TRIM(G14&amp;"")&lt;&gt;"—",LEN(TRIM(H14&amp;""))&gt;0,TRIM(H14&amp;"")&lt;&gt;"—"),"PASS","⚠ FAIL — "&amp;"'Size' placeholder '—'; 'Set / Cv' placeholder '—' +1 more")</f>
        <v>⚠ FAIL — 'Size' placeholder '—'; 'Set / Cv' placeholder '—' +1 more</v>
      </c>
    </row>
    <row r="15" customFormat="false" ht="28.5" hidden="false" customHeight="true" outlineLevel="0" collapsed="false">
      <c r="A15" s="68" t="s">
        <v>1698</v>
      </c>
      <c r="B15" s="68" t="s">
        <v>1689</v>
      </c>
      <c r="C15" s="68" t="s">
        <v>1690</v>
      </c>
      <c r="D15" s="68" t="s">
        <v>1699</v>
      </c>
      <c r="E15" s="68" t="s">
        <v>480</v>
      </c>
      <c r="F15" s="68" t="s">
        <v>480</v>
      </c>
      <c r="G15" s="68" t="s">
        <v>480</v>
      </c>
      <c r="H15" s="68" t="s">
        <v>1676</v>
      </c>
      <c r="I15" s="72" t="str">
        <f aca="false">IF(AND(LEN(TRIM(A15&amp;""))&gt;0,TRIM(A15&amp;"")&lt;&gt;"—",LEN(TRIM(B15&amp;""))&gt;0,TRIM(B15&amp;"")&lt;&gt;"—",LEN(TRIM(C15&amp;""))&gt;0,TRIM(C15&amp;"")&lt;&gt;"—",LEN(TRIM(D15&amp;""))&gt;0,TRIM(D15&amp;"")&lt;&gt;"—",LEN(TRIM(E15&amp;""))&gt;0,TRIM(E15&amp;"")&lt;&gt;"—",TRIM(E15&amp;"")&lt;&gt;"—",LEN(TRIM(F15&amp;""))&gt;0,TRIM(F15&amp;"")&lt;&gt;"—",TRIM(F15&amp;"")&lt;&gt;"—",LEN(TRIM(G15&amp;""))&gt;0,TRIM(G15&amp;"")&lt;&gt;"—",TRIM(G15&amp;"")&lt;&gt;"—",LEN(TRIM(H15&amp;""))&gt;0,TRIM(H15&amp;"")&lt;&gt;"—"),"PASS","⚠ FAIL — "&amp;"'Size' placeholder '—'; 'Set / Cv' placeholder '—' +1 more")</f>
        <v>⚠ FAIL — 'Size' placeholder '—'; 'Set / Cv' placeholder '—' +1 more</v>
      </c>
    </row>
    <row r="16" customFormat="false" ht="28.5" hidden="false" customHeight="true" outlineLevel="0" collapsed="false">
      <c r="A16" s="68" t="s">
        <v>1700</v>
      </c>
      <c r="B16" s="68" t="s">
        <v>1689</v>
      </c>
      <c r="C16" s="68" t="s">
        <v>1693</v>
      </c>
      <c r="D16" s="68" t="s">
        <v>1701</v>
      </c>
      <c r="E16" s="68" t="s">
        <v>480</v>
      </c>
      <c r="F16" s="68" t="s">
        <v>480</v>
      </c>
      <c r="G16" s="68" t="s">
        <v>480</v>
      </c>
      <c r="H16" s="68" t="s">
        <v>1676</v>
      </c>
      <c r="I16" s="72" t="str">
        <f aca="false">IF(AND(LEN(TRIM(A16&amp;""))&gt;0,TRIM(A16&amp;"")&lt;&gt;"—",LEN(TRIM(B16&amp;""))&gt;0,TRIM(B16&amp;"")&lt;&gt;"—",LEN(TRIM(C16&amp;""))&gt;0,TRIM(C16&amp;"")&lt;&gt;"—",LEN(TRIM(D16&amp;""))&gt;0,TRIM(D16&amp;"")&lt;&gt;"—",LEN(TRIM(E16&amp;""))&gt;0,TRIM(E16&amp;"")&lt;&gt;"—",TRIM(E16&amp;"")&lt;&gt;"—",LEN(TRIM(F16&amp;""))&gt;0,TRIM(F16&amp;"")&lt;&gt;"—",TRIM(F16&amp;"")&lt;&gt;"—",LEN(TRIM(G16&amp;""))&gt;0,TRIM(G16&amp;"")&lt;&gt;"—",TRIM(G16&amp;"")&lt;&gt;"—",LEN(TRIM(H16&amp;""))&gt;0,TRIM(H16&amp;"")&lt;&gt;"—"),"PASS","⚠ FAIL — "&amp;"'Size' placeholder '—'; 'Set / Cv' placeholder '—' +1 more")</f>
        <v>⚠ FAIL — 'Size' placeholder '—'; 'Set / Cv' placeholder '—' +1 more</v>
      </c>
    </row>
    <row r="17" customFormat="false" ht="28.5" hidden="false" customHeight="true" outlineLevel="0" collapsed="false">
      <c r="A17" s="68" t="s">
        <v>1702</v>
      </c>
      <c r="B17" s="68" t="s">
        <v>1674</v>
      </c>
      <c r="C17" s="68" t="s">
        <v>1696</v>
      </c>
      <c r="D17" s="68" t="s">
        <v>1703</v>
      </c>
      <c r="E17" s="68" t="s">
        <v>480</v>
      </c>
      <c r="F17" s="68" t="s">
        <v>480</v>
      </c>
      <c r="G17" s="68" t="s">
        <v>480</v>
      </c>
      <c r="H17" s="68" t="s">
        <v>1676</v>
      </c>
      <c r="I17" s="72" t="str">
        <f aca="false">IF(AND(LEN(TRIM(A17&amp;""))&gt;0,TRIM(A17&amp;"")&lt;&gt;"—",LEN(TRIM(B17&amp;""))&gt;0,TRIM(B17&amp;"")&lt;&gt;"—",LEN(TRIM(C17&amp;""))&gt;0,TRIM(C17&amp;"")&lt;&gt;"—",LEN(TRIM(D17&amp;""))&gt;0,TRIM(D17&amp;"")&lt;&gt;"—",LEN(TRIM(E17&amp;""))&gt;0,TRIM(E17&amp;"")&lt;&gt;"—",TRIM(E17&amp;"")&lt;&gt;"—",LEN(TRIM(F17&amp;""))&gt;0,TRIM(F17&amp;"")&lt;&gt;"—",TRIM(F17&amp;"")&lt;&gt;"—",LEN(TRIM(G17&amp;""))&gt;0,TRIM(G17&amp;"")&lt;&gt;"—",TRIM(G17&amp;"")&lt;&gt;"—",LEN(TRIM(H17&amp;""))&gt;0,TRIM(H17&amp;"")&lt;&gt;"—"),"PASS","⚠ FAIL — "&amp;"'Size' placeholder '—'; 'Set / Cv' placeholder '—' +1 more")</f>
        <v>⚠ FAIL — 'Size' placeholder '—'; 'Set / Cv' placeholder '—' +1 more</v>
      </c>
    </row>
    <row r="18" customFormat="false" ht="28.5" hidden="false" customHeight="true" outlineLevel="0" collapsed="false">
      <c r="A18" s="68" t="s">
        <v>1704</v>
      </c>
      <c r="B18" s="68" t="s">
        <v>1689</v>
      </c>
      <c r="C18" s="68" t="s">
        <v>1690</v>
      </c>
      <c r="D18" s="68" t="s">
        <v>1680</v>
      </c>
      <c r="E18" s="68" t="s">
        <v>1681</v>
      </c>
      <c r="F18" s="68" t="s">
        <v>480</v>
      </c>
      <c r="G18" s="68" t="s">
        <v>480</v>
      </c>
      <c r="H18" s="68" t="s">
        <v>1676</v>
      </c>
      <c r="I18" s="72" t="str">
        <f aca="false">IF(AND(LEN(TRIM(A18&amp;""))&gt;0,TRIM(A18&amp;"")&lt;&gt;"—",LEN(TRIM(B18&amp;""))&gt;0,TRIM(B18&amp;"")&lt;&gt;"—",LEN(TRIM(C18&amp;""))&gt;0,TRIM(C18&amp;"")&lt;&gt;"—",LEN(TRIM(D18&amp;""))&gt;0,TRIM(D18&amp;"")&lt;&gt;"—",LEN(TRIM(E18&amp;""))&gt;0,TRIM(E18&amp;"")&lt;&gt;"—",LEN(TRIM(F18&amp;""))&gt;0,TRIM(F18&amp;"")&lt;&gt;"—",TRIM(F18&amp;"")&lt;&gt;"—",LEN(TRIM(G18&amp;""))&gt;0,TRIM(G18&amp;"")&lt;&gt;"—",TRIM(G18&amp;"")&lt;&gt;"—",LEN(TRIM(H18&amp;""))&gt;0,TRIM(H18&amp;"")&lt;&gt;"—"),"PASS","⚠ FAIL — "&amp;"'Set / Cv' placeholder '—'; 'Fail' placeholder '—'")</f>
        <v>⚠ FAIL — 'Set / Cv' placeholder '—'; 'Fail' placeholder '—'</v>
      </c>
    </row>
    <row r="19" customFormat="false" ht="28.5" hidden="false" customHeight="true" outlineLevel="0" collapsed="false">
      <c r="A19" s="68" t="s">
        <v>1705</v>
      </c>
      <c r="B19" s="68" t="s">
        <v>1689</v>
      </c>
      <c r="C19" s="68" t="s">
        <v>1693</v>
      </c>
      <c r="D19" s="68" t="s">
        <v>1680</v>
      </c>
      <c r="E19" s="68" t="s">
        <v>1681</v>
      </c>
      <c r="F19" s="68" t="s">
        <v>480</v>
      </c>
      <c r="G19" s="68" t="s">
        <v>480</v>
      </c>
      <c r="H19" s="68" t="s">
        <v>1676</v>
      </c>
      <c r="I19" s="72" t="str">
        <f aca="false">IF(AND(LEN(TRIM(A19&amp;""))&gt;0,TRIM(A19&amp;"")&lt;&gt;"—",LEN(TRIM(B19&amp;""))&gt;0,TRIM(B19&amp;"")&lt;&gt;"—",LEN(TRIM(C19&amp;""))&gt;0,TRIM(C19&amp;"")&lt;&gt;"—",LEN(TRIM(D19&amp;""))&gt;0,TRIM(D19&amp;"")&lt;&gt;"—",LEN(TRIM(E19&amp;""))&gt;0,TRIM(E19&amp;"")&lt;&gt;"—",LEN(TRIM(F19&amp;""))&gt;0,TRIM(F19&amp;"")&lt;&gt;"—",TRIM(F19&amp;"")&lt;&gt;"—",LEN(TRIM(G19&amp;""))&gt;0,TRIM(G19&amp;"")&lt;&gt;"—",TRIM(G19&amp;"")&lt;&gt;"—",LEN(TRIM(H19&amp;""))&gt;0,TRIM(H19&amp;"")&lt;&gt;"—"),"PASS","⚠ FAIL — "&amp;"'Set / Cv' placeholder '—'; 'Fail' placeholder '—'")</f>
        <v>⚠ FAIL — 'Set / Cv' placeholder '—'; 'Fail' placeholder '—'</v>
      </c>
    </row>
    <row r="20" customFormat="false" ht="28.5" hidden="false" customHeight="true" outlineLevel="0" collapsed="false">
      <c r="A20" s="68" t="s">
        <v>1706</v>
      </c>
      <c r="B20" s="68" t="s">
        <v>1674</v>
      </c>
      <c r="C20" s="68" t="s">
        <v>1696</v>
      </c>
      <c r="D20" s="68" t="s">
        <v>1680</v>
      </c>
      <c r="E20" s="68" t="s">
        <v>1681</v>
      </c>
      <c r="F20" s="68" t="s">
        <v>480</v>
      </c>
      <c r="G20" s="68" t="s">
        <v>480</v>
      </c>
      <c r="H20" s="68" t="s">
        <v>1676</v>
      </c>
      <c r="I20" s="72" t="str">
        <f aca="false">IF(AND(LEN(TRIM(A20&amp;""))&gt;0,TRIM(A20&amp;"")&lt;&gt;"—",LEN(TRIM(B20&amp;""))&gt;0,TRIM(B20&amp;"")&lt;&gt;"—",LEN(TRIM(C20&amp;""))&gt;0,TRIM(C20&amp;"")&lt;&gt;"—",LEN(TRIM(D20&amp;""))&gt;0,TRIM(D20&amp;"")&lt;&gt;"—",LEN(TRIM(E20&amp;""))&gt;0,TRIM(E20&amp;"")&lt;&gt;"—",LEN(TRIM(F20&amp;""))&gt;0,TRIM(F20&amp;"")&lt;&gt;"—",TRIM(F20&amp;"")&lt;&gt;"—",LEN(TRIM(G20&amp;""))&gt;0,TRIM(G20&amp;"")&lt;&gt;"—",TRIM(G20&amp;"")&lt;&gt;"—",LEN(TRIM(H20&amp;""))&gt;0,TRIM(H20&amp;"")&lt;&gt;"—"),"PASS","⚠ FAIL — "&amp;"'Set / Cv' placeholder '—'; 'Fail' placeholder '—'")</f>
        <v>⚠ FAIL — 'Set / Cv' placeholder '—'; 'Fail' placeholder '—'</v>
      </c>
    </row>
    <row r="21" customFormat="false" ht="28.5" hidden="false" customHeight="true" outlineLevel="0" collapsed="false">
      <c r="A21" s="68" t="s">
        <v>1707</v>
      </c>
      <c r="B21" s="68" t="s">
        <v>1689</v>
      </c>
      <c r="C21" s="68" t="s">
        <v>1690</v>
      </c>
      <c r="D21" s="68" t="s">
        <v>1708</v>
      </c>
      <c r="E21" s="68" t="s">
        <v>480</v>
      </c>
      <c r="F21" s="68" t="s">
        <v>480</v>
      </c>
      <c r="G21" s="68" t="s">
        <v>480</v>
      </c>
      <c r="H21" s="68" t="s">
        <v>1676</v>
      </c>
      <c r="I21" s="72" t="str">
        <f aca="false">IF(AND(LEN(TRIM(A21&amp;""))&gt;0,TRIM(A21&amp;"")&lt;&gt;"—",LEN(TRIM(B21&amp;""))&gt;0,TRIM(B21&amp;"")&lt;&gt;"—",LEN(TRIM(C21&amp;""))&gt;0,TRIM(C21&amp;"")&lt;&gt;"—",LEN(TRIM(D21&amp;""))&gt;0,TRIM(D21&amp;"")&lt;&gt;"—",LEN(TRIM(E21&amp;""))&gt;0,TRIM(E21&amp;"")&lt;&gt;"—",TRIM(E21&amp;"")&lt;&gt;"—",LEN(TRIM(F21&amp;""))&gt;0,TRIM(F21&amp;"")&lt;&gt;"—",TRIM(F21&amp;"")&lt;&gt;"—",LEN(TRIM(G21&amp;""))&gt;0,TRIM(G21&amp;"")&lt;&gt;"—",TRIM(G21&amp;"")&lt;&gt;"—",LEN(TRIM(H21&amp;""))&gt;0,TRIM(H21&amp;"")&lt;&gt;"—"),"PASS","⚠ FAIL — "&amp;"'Size' placeholder '—'; 'Set / Cv' placeholder '—' +1 more")</f>
        <v>⚠ FAIL — 'Size' placeholder '—'; 'Set / Cv' placeholder '—' +1 more</v>
      </c>
    </row>
    <row r="22" customFormat="false" ht="28.5" hidden="false" customHeight="true" outlineLevel="0" collapsed="false">
      <c r="A22" s="68" t="s">
        <v>1709</v>
      </c>
      <c r="B22" s="68" t="s">
        <v>1689</v>
      </c>
      <c r="C22" s="68" t="s">
        <v>1693</v>
      </c>
      <c r="D22" s="68" t="s">
        <v>1710</v>
      </c>
      <c r="E22" s="68" t="s">
        <v>480</v>
      </c>
      <c r="F22" s="68" t="s">
        <v>480</v>
      </c>
      <c r="G22" s="68" t="s">
        <v>480</v>
      </c>
      <c r="H22" s="68" t="s">
        <v>1676</v>
      </c>
      <c r="I22" s="72" t="str">
        <f aca="false">IF(AND(LEN(TRIM(A22&amp;""))&gt;0,TRIM(A22&amp;"")&lt;&gt;"—",LEN(TRIM(B22&amp;""))&gt;0,TRIM(B22&amp;"")&lt;&gt;"—",LEN(TRIM(C22&amp;""))&gt;0,TRIM(C22&amp;"")&lt;&gt;"—",LEN(TRIM(D22&amp;""))&gt;0,TRIM(D22&amp;"")&lt;&gt;"—",LEN(TRIM(E22&amp;""))&gt;0,TRIM(E22&amp;"")&lt;&gt;"—",TRIM(E22&amp;"")&lt;&gt;"—",LEN(TRIM(F22&amp;""))&gt;0,TRIM(F22&amp;"")&lt;&gt;"—",TRIM(F22&amp;"")&lt;&gt;"—",LEN(TRIM(G22&amp;""))&gt;0,TRIM(G22&amp;"")&lt;&gt;"—",TRIM(G22&amp;"")&lt;&gt;"—",LEN(TRIM(H22&amp;""))&gt;0,TRIM(H22&amp;"")&lt;&gt;"—"),"PASS","⚠ FAIL — "&amp;"'Size' placeholder '—'; 'Set / Cv' placeholder '—' +1 more")</f>
        <v>⚠ FAIL — 'Size' placeholder '—'; 'Set / Cv' placeholder '—' +1 more</v>
      </c>
    </row>
    <row r="23" customFormat="false" ht="28.5" hidden="false" customHeight="true" outlineLevel="0" collapsed="false">
      <c r="A23" s="68" t="s">
        <v>1711</v>
      </c>
      <c r="B23" s="68" t="s">
        <v>1674</v>
      </c>
      <c r="C23" s="68" t="s">
        <v>1696</v>
      </c>
      <c r="D23" s="68" t="s">
        <v>1712</v>
      </c>
      <c r="E23" s="68" t="s">
        <v>480</v>
      </c>
      <c r="F23" s="68" t="s">
        <v>480</v>
      </c>
      <c r="G23" s="68" t="s">
        <v>480</v>
      </c>
      <c r="H23" s="68" t="s">
        <v>1676</v>
      </c>
      <c r="I23" s="72" t="str">
        <f aca="false">IF(AND(LEN(TRIM(A23&amp;""))&gt;0,TRIM(A23&amp;"")&lt;&gt;"—",LEN(TRIM(B23&amp;""))&gt;0,TRIM(B23&amp;"")&lt;&gt;"—",LEN(TRIM(C23&amp;""))&gt;0,TRIM(C23&amp;"")&lt;&gt;"—",LEN(TRIM(D23&amp;""))&gt;0,TRIM(D23&amp;"")&lt;&gt;"—",LEN(TRIM(E23&amp;""))&gt;0,TRIM(E23&amp;"")&lt;&gt;"—",TRIM(E23&amp;"")&lt;&gt;"—",LEN(TRIM(F23&amp;""))&gt;0,TRIM(F23&amp;"")&lt;&gt;"—",TRIM(F23&amp;"")&lt;&gt;"—",LEN(TRIM(G23&amp;""))&gt;0,TRIM(G23&amp;"")&lt;&gt;"—",TRIM(G23&amp;"")&lt;&gt;"—",LEN(TRIM(H23&amp;""))&gt;0,TRIM(H23&amp;"")&lt;&gt;"—"),"PASS","⚠ FAIL — "&amp;"'Size' placeholder '—'; 'Set / Cv' placeholder '—' +1 more")</f>
        <v>⚠ FAIL — 'Size' placeholder '—'; 'Set / Cv' placeholder '—' +1 more</v>
      </c>
    </row>
    <row r="24" customFormat="false" ht="28.5" hidden="false" customHeight="true" outlineLevel="0" collapsed="false">
      <c r="A24" s="68" t="s">
        <v>1713</v>
      </c>
      <c r="B24" s="68" t="s">
        <v>1689</v>
      </c>
      <c r="C24" s="68" t="s">
        <v>1690</v>
      </c>
      <c r="D24" s="68" t="s">
        <v>1714</v>
      </c>
      <c r="E24" s="68" t="s">
        <v>480</v>
      </c>
      <c r="F24" s="68" t="s">
        <v>480</v>
      </c>
      <c r="G24" s="68" t="s">
        <v>480</v>
      </c>
      <c r="H24" s="68" t="s">
        <v>1676</v>
      </c>
      <c r="I24" s="72" t="str">
        <f aca="false">IF(AND(LEN(TRIM(A24&amp;""))&gt;0,TRIM(A24&amp;"")&lt;&gt;"—",LEN(TRIM(B24&amp;""))&gt;0,TRIM(B24&amp;"")&lt;&gt;"—",LEN(TRIM(C24&amp;""))&gt;0,TRIM(C24&amp;"")&lt;&gt;"—",LEN(TRIM(D24&amp;""))&gt;0,TRIM(D24&amp;"")&lt;&gt;"—",LEN(TRIM(E24&amp;""))&gt;0,TRIM(E24&amp;"")&lt;&gt;"—",TRIM(E24&amp;"")&lt;&gt;"—",LEN(TRIM(F24&amp;""))&gt;0,TRIM(F24&amp;"")&lt;&gt;"—",TRIM(F24&amp;"")&lt;&gt;"—",LEN(TRIM(G24&amp;""))&gt;0,TRIM(G24&amp;"")&lt;&gt;"—",TRIM(G24&amp;"")&lt;&gt;"—",LEN(TRIM(H24&amp;""))&gt;0,TRIM(H24&amp;"")&lt;&gt;"—"),"PASS","⚠ FAIL — "&amp;"'Size' placeholder '—'; 'Set / Cv' placeholder '—' +1 more")</f>
        <v>⚠ FAIL — 'Size' placeholder '—'; 'Set / Cv' placeholder '—' +1 more</v>
      </c>
    </row>
    <row r="25" customFormat="false" ht="28.5" hidden="false" customHeight="true" outlineLevel="0" collapsed="false">
      <c r="A25" s="68" t="s">
        <v>1715</v>
      </c>
      <c r="B25" s="68" t="s">
        <v>1689</v>
      </c>
      <c r="C25" s="68" t="s">
        <v>1693</v>
      </c>
      <c r="D25" s="68" t="s">
        <v>1716</v>
      </c>
      <c r="E25" s="68" t="s">
        <v>480</v>
      </c>
      <c r="F25" s="68" t="s">
        <v>480</v>
      </c>
      <c r="G25" s="68" t="s">
        <v>480</v>
      </c>
      <c r="H25" s="68" t="s">
        <v>1676</v>
      </c>
      <c r="I25" s="72" t="str">
        <f aca="false">IF(AND(LEN(TRIM(A25&amp;""))&gt;0,TRIM(A25&amp;"")&lt;&gt;"—",LEN(TRIM(B25&amp;""))&gt;0,TRIM(B25&amp;"")&lt;&gt;"—",LEN(TRIM(C25&amp;""))&gt;0,TRIM(C25&amp;"")&lt;&gt;"—",LEN(TRIM(D25&amp;""))&gt;0,TRIM(D25&amp;"")&lt;&gt;"—",LEN(TRIM(E25&amp;""))&gt;0,TRIM(E25&amp;"")&lt;&gt;"—",TRIM(E25&amp;"")&lt;&gt;"—",LEN(TRIM(F25&amp;""))&gt;0,TRIM(F25&amp;"")&lt;&gt;"—",TRIM(F25&amp;"")&lt;&gt;"—",LEN(TRIM(G25&amp;""))&gt;0,TRIM(G25&amp;"")&lt;&gt;"—",TRIM(G25&amp;"")&lt;&gt;"—",LEN(TRIM(H25&amp;""))&gt;0,TRIM(H25&amp;"")&lt;&gt;"—"),"PASS","⚠ FAIL — "&amp;"'Size' placeholder '—'; 'Set / Cv' placeholder '—' +1 more")</f>
        <v>⚠ FAIL — 'Size' placeholder '—'; 'Set / Cv' placeholder '—' +1 more</v>
      </c>
    </row>
    <row r="26" customFormat="false" ht="28.5" hidden="false" customHeight="true" outlineLevel="0" collapsed="false">
      <c r="A26" s="68" t="s">
        <v>1717</v>
      </c>
      <c r="B26" s="68" t="s">
        <v>1674</v>
      </c>
      <c r="C26" s="68" t="s">
        <v>1696</v>
      </c>
      <c r="D26" s="68" t="s">
        <v>1718</v>
      </c>
      <c r="E26" s="68" t="s">
        <v>480</v>
      </c>
      <c r="F26" s="68" t="s">
        <v>480</v>
      </c>
      <c r="G26" s="68" t="s">
        <v>480</v>
      </c>
      <c r="H26" s="68" t="s">
        <v>1676</v>
      </c>
      <c r="I26" s="72" t="str">
        <f aca="false">IF(AND(LEN(TRIM(A26&amp;""))&gt;0,TRIM(A26&amp;"")&lt;&gt;"—",LEN(TRIM(B26&amp;""))&gt;0,TRIM(B26&amp;"")&lt;&gt;"—",LEN(TRIM(C26&amp;""))&gt;0,TRIM(C26&amp;"")&lt;&gt;"—",LEN(TRIM(D26&amp;""))&gt;0,TRIM(D26&amp;"")&lt;&gt;"—",LEN(TRIM(E26&amp;""))&gt;0,TRIM(E26&amp;"")&lt;&gt;"—",TRIM(E26&amp;"")&lt;&gt;"—",LEN(TRIM(F26&amp;""))&gt;0,TRIM(F26&amp;"")&lt;&gt;"—",TRIM(F26&amp;"")&lt;&gt;"—",LEN(TRIM(G26&amp;""))&gt;0,TRIM(G26&amp;"")&lt;&gt;"—",TRIM(G26&amp;"")&lt;&gt;"—",LEN(TRIM(H26&amp;""))&gt;0,TRIM(H26&amp;"")&lt;&gt;"—"),"PASS","⚠ FAIL — "&amp;"'Size' placeholder '—'; 'Set / Cv' placeholder '—' +1 more")</f>
        <v>⚠ FAIL — 'Size' placeholder '—'; 'Set / Cv' placeholder '—' +1 more</v>
      </c>
    </row>
    <row r="27" customFormat="false" ht="28.5" hidden="false" customHeight="true" outlineLevel="0" collapsed="false">
      <c r="A27" s="68" t="s">
        <v>1719</v>
      </c>
      <c r="B27" s="68" t="s">
        <v>1720</v>
      </c>
      <c r="C27" s="68" t="str">
        <f aca="false">'Part names'!$B$88</f>
        <v>Solenoid Valve</v>
      </c>
      <c r="D27" s="68" t="s">
        <v>1721</v>
      </c>
      <c r="E27" s="68" t="s">
        <v>480</v>
      </c>
      <c r="F27" s="68" t="s">
        <v>1722</v>
      </c>
      <c r="G27" s="68" t="s">
        <v>1683</v>
      </c>
      <c r="H27" s="68" t="s">
        <v>1676</v>
      </c>
      <c r="I27" s="72" t="str">
        <f aca="false">IF(AND(LEN(TRIM(A27&amp;""))&gt;0,TRIM(A27&amp;"")&lt;&gt;"—",LEN(TRIM(B27&amp;""))&gt;0,TRIM(B27&amp;"")&lt;&gt;"—",LEN(TRIM(C27&amp;""))&gt;0,TRIM(C27&amp;"")&lt;&gt;"—",LEN(TRIM(D27&amp;""))&gt;0,TRIM(D27&amp;"")&lt;&gt;"—",LEN(TRIM(E27&amp;""))&gt;0,TRIM(E27&amp;"")&lt;&gt;"—",TRIM(E27&amp;"")&lt;&gt;"—",LEN(TRIM(F27&amp;""))&gt;0,TRIM(F27&amp;"")&lt;&gt;"—",LEN(TRIM(G27&amp;""))&gt;0,TRIM(G27&amp;"")&lt;&gt;"—",LEN(TRIM(H27&amp;""))&gt;0,TRIM(H27&amp;"")&lt;&gt;"—"),"PASS","⚠ FAIL — "&amp;"'Size' placeholder '—'")</f>
        <v>⚠ FAIL — 'Size' placeholder '—'</v>
      </c>
    </row>
    <row r="28" customFormat="false" ht="28.5" hidden="false" customHeight="true" outlineLevel="0" collapsed="false">
      <c r="A28" s="68" t="s">
        <v>1723</v>
      </c>
      <c r="B28" s="68" t="s">
        <v>1724</v>
      </c>
      <c r="C28" s="68" t="str">
        <f aca="false">'Part names'!$B$74</f>
        <v>Pneumatic Actuated Valves</v>
      </c>
      <c r="D28" s="68" t="s">
        <v>1725</v>
      </c>
      <c r="E28" s="68" t="s">
        <v>480</v>
      </c>
      <c r="F28" s="68" t="s">
        <v>1722</v>
      </c>
      <c r="G28" s="68" t="s">
        <v>1683</v>
      </c>
      <c r="H28" s="68" t="s">
        <v>1676</v>
      </c>
      <c r="I28" s="72" t="str">
        <f aca="false">IF(AND(LEN(TRIM(A28&amp;""))&gt;0,TRIM(A28&amp;"")&lt;&gt;"—",LEN(TRIM(B28&amp;""))&gt;0,TRIM(B28&amp;"")&lt;&gt;"—",LEN(TRIM(C28&amp;""))&gt;0,TRIM(C28&amp;"")&lt;&gt;"—",LEN(TRIM(D28&amp;""))&gt;0,TRIM(D28&amp;"")&lt;&gt;"—",LEN(TRIM(E28&amp;""))&gt;0,TRIM(E28&amp;"")&lt;&gt;"—",TRIM(E28&amp;"")&lt;&gt;"—",LEN(TRIM(F28&amp;""))&gt;0,TRIM(F28&amp;"")&lt;&gt;"—",LEN(TRIM(G28&amp;""))&gt;0,TRIM(G28&amp;"")&lt;&gt;"—",LEN(TRIM(H28&amp;""))&gt;0,TRIM(H28&amp;"")&lt;&gt;"—"),"PASS","⚠ FAIL — "&amp;"'Size' placeholder '—'")</f>
        <v>⚠ FAIL — 'Size' placeholder '—'</v>
      </c>
    </row>
    <row r="29" customFormat="false" ht="28.5" hidden="false" customHeight="true" outlineLevel="0" collapsed="false">
      <c r="A29" s="68" t="s">
        <v>1726</v>
      </c>
      <c r="B29" s="68" t="s">
        <v>1689</v>
      </c>
      <c r="C29" s="68" t="str">
        <f aca="false">'Part names'!$B$56</f>
        <v>Manual Isolation Valves</v>
      </c>
      <c r="D29" s="68" t="s">
        <v>1727</v>
      </c>
      <c r="E29" s="68" t="s">
        <v>480</v>
      </c>
      <c r="F29" s="68" t="s">
        <v>480</v>
      </c>
      <c r="G29" s="68" t="s">
        <v>480</v>
      </c>
      <c r="H29" s="68" t="s">
        <v>1676</v>
      </c>
      <c r="I29" s="72" t="str">
        <f aca="false">IF(AND(LEN(TRIM(A29&amp;""))&gt;0,TRIM(A29&amp;"")&lt;&gt;"—",LEN(TRIM(B29&amp;""))&gt;0,TRIM(B29&amp;"")&lt;&gt;"—",LEN(TRIM(C29&amp;""))&gt;0,TRIM(C29&amp;"")&lt;&gt;"—",LEN(TRIM(D29&amp;""))&gt;0,TRIM(D29&amp;"")&lt;&gt;"—",LEN(TRIM(E29&amp;""))&gt;0,TRIM(E29&amp;"")&lt;&gt;"—",TRIM(E29&amp;"")&lt;&gt;"—",LEN(TRIM(F29&amp;""))&gt;0,TRIM(F29&amp;"")&lt;&gt;"—",TRIM(F29&amp;"")&lt;&gt;"—",LEN(TRIM(G29&amp;""))&gt;0,TRIM(G29&amp;"")&lt;&gt;"—",TRIM(G29&amp;"")&lt;&gt;"—",LEN(TRIM(H29&amp;""))&gt;0,TRIM(H29&amp;"")&lt;&gt;"—"),"PASS","⚠ FAIL — "&amp;"'Size' placeholder '—'; 'Set / Cv' placeholder '—' +1 more")</f>
        <v>⚠ FAIL — 'Size' placeholder '—'; 'Set / Cv' placeholder '—' +1 more</v>
      </c>
    </row>
    <row r="30" customFormat="false" ht="28.5" hidden="false" customHeight="true" outlineLevel="0" collapsed="false">
      <c r="A30" s="68" t="s">
        <v>1728</v>
      </c>
      <c r="B30" s="68" t="s">
        <v>1724</v>
      </c>
      <c r="C30" s="68" t="str">
        <f aca="false">'Part names'!$B$75</f>
        <v>Pneumatic Actuators</v>
      </c>
      <c r="D30" s="68" t="s">
        <v>1729</v>
      </c>
      <c r="E30" s="68" t="s">
        <v>480</v>
      </c>
      <c r="F30" s="68" t="s">
        <v>1722</v>
      </c>
      <c r="G30" s="68" t="s">
        <v>1683</v>
      </c>
      <c r="H30" s="68" t="s">
        <v>1676</v>
      </c>
      <c r="I30" s="72" t="str">
        <f aca="false">IF(AND(LEN(TRIM(A30&amp;""))&gt;0,TRIM(A30&amp;"")&lt;&gt;"—",LEN(TRIM(B30&amp;""))&gt;0,TRIM(B30&amp;"")&lt;&gt;"—",LEN(TRIM(C30&amp;""))&gt;0,TRIM(C30&amp;"")&lt;&gt;"—",LEN(TRIM(D30&amp;""))&gt;0,TRIM(D30&amp;"")&lt;&gt;"—",LEN(TRIM(E30&amp;""))&gt;0,TRIM(E30&amp;"")&lt;&gt;"—",TRIM(E30&amp;"")&lt;&gt;"—",LEN(TRIM(F30&amp;""))&gt;0,TRIM(F30&amp;"")&lt;&gt;"—",LEN(TRIM(G30&amp;""))&gt;0,TRIM(G30&amp;"")&lt;&gt;"—",LEN(TRIM(H30&amp;""))&gt;0,TRIM(H30&amp;"")&lt;&gt;"—"),"PASS","⚠ FAIL — "&amp;"'Size' placeholder '—'")</f>
        <v>⚠ FAIL — 'Size' placeholder '—'</v>
      </c>
    </row>
    <row r="31" customFormat="false" ht="23.85" hidden="false" customHeight="false" outlineLevel="0" collapsed="false">
      <c r="A31" s="68" t="s">
        <v>1730</v>
      </c>
      <c r="B31" s="68" t="s">
        <v>1678</v>
      </c>
      <c r="C31" s="68" t="str">
        <f aca="false">'Part names'!$B$34</f>
        <v>Flow Control Valves</v>
      </c>
      <c r="D31" s="68" t="s">
        <v>1680</v>
      </c>
      <c r="E31" s="68" t="s">
        <v>1681</v>
      </c>
      <c r="F31" s="68" t="s">
        <v>1682</v>
      </c>
      <c r="G31" s="68" t="s">
        <v>1683</v>
      </c>
      <c r="H31" s="68" t="s">
        <v>1676</v>
      </c>
      <c r="I31" s="16" t="str">
        <f aca="false">IF(AND(LEN(TRIM(A31&amp;""))&gt;0,TRIM(A31&amp;"")&lt;&gt;"—",LEN(TRIM(B31&amp;""))&gt;0,TRIM(B31&amp;"")&lt;&gt;"—",LEN(TRIM(C31&amp;""))&gt;0,TRIM(C31&amp;"")&lt;&gt;"—",LEN(TRIM(D31&amp;""))&gt;0,TRIM(D31&amp;"")&lt;&gt;"—",LEN(TRIM(E31&amp;""))&gt;0,TRIM(E31&amp;"")&lt;&gt;"—",LEN(TRIM(F31&amp;""))&gt;0,TRIM(F31&amp;"")&lt;&gt;"—",LEN(TRIM(G31&amp;""))&gt;0,TRIM(G31&amp;"")&lt;&gt;"—",LEN(TRIM(H31&amp;""))&gt;0,TRIM(H31&amp;"")&lt;&gt;"—"),"PASS","⚠ FAIL — "&amp;"a required cell is empty/placeholder or wrong type")</f>
        <v>PASS</v>
      </c>
    </row>
    <row r="32" customFormat="false" ht="43.5" hidden="false" customHeight="true" outlineLevel="0" collapsed="false">
      <c r="A32" s="68" t="str">
        <f aca="false">'Part names'!$A$46</f>
        <v>FCV-201–202</v>
      </c>
      <c r="B32" s="68" t="s">
        <v>1678</v>
      </c>
      <c r="C32" s="68" t="s">
        <v>1731</v>
      </c>
      <c r="D32" s="68" t="s">
        <v>1680</v>
      </c>
      <c r="E32" s="68" t="s">
        <v>1681</v>
      </c>
      <c r="F32" s="68" t="s">
        <v>1682</v>
      </c>
      <c r="G32" s="68" t="s">
        <v>1683</v>
      </c>
      <c r="H32" s="68" t="s">
        <v>1676</v>
      </c>
      <c r="I32" s="16" t="str">
        <f aca="false">IF(AND(LEN(TRIM(A32&amp;""))&gt;0,TRIM(A32&amp;"")&lt;&gt;"—",LEN(TRIM(B32&amp;""))&gt;0,TRIM(B32&amp;"")&lt;&gt;"—",LEN(TRIM(C32&amp;""))&gt;0,TRIM(C32&amp;"")&lt;&gt;"—",LEN(TRIM(D32&amp;""))&gt;0,TRIM(D32&amp;"")&lt;&gt;"—",LEN(TRIM(E32&amp;""))&gt;0,TRIM(E32&amp;"")&lt;&gt;"—",LEN(TRIM(F32&amp;""))&gt;0,TRIM(F32&amp;"")&lt;&gt;"—",LEN(TRIM(G32&amp;""))&gt;0,TRIM(G32&amp;"")&lt;&gt;"—",LEN(TRIM(H32&amp;""))&gt;0,TRIM(H32&amp;"")&lt;&gt;"—"),"PASS","⚠ FAIL — "&amp;"a required cell is empty/placeholder or wrong type")</f>
        <v>PASS</v>
      </c>
    </row>
    <row r="33" customFormat="false" ht="28.5" hidden="false" customHeight="true" outlineLevel="0" collapsed="false">
      <c r="A33" s="68" t="s">
        <v>1732</v>
      </c>
      <c r="B33" s="68" t="s">
        <v>1720</v>
      </c>
      <c r="C33" s="68" t="str">
        <f aca="false">'Part names'!$B$88</f>
        <v>Solenoid Valve</v>
      </c>
      <c r="D33" s="68" t="s">
        <v>1733</v>
      </c>
      <c r="E33" s="68" t="s">
        <v>480</v>
      </c>
      <c r="F33" s="68" t="s">
        <v>1722</v>
      </c>
      <c r="G33" s="68" t="s">
        <v>1683</v>
      </c>
      <c r="H33" s="68" t="s">
        <v>1676</v>
      </c>
      <c r="I33" s="72" t="str">
        <f aca="false">IF(AND(LEN(TRIM(A33&amp;""))&gt;0,TRIM(A33&amp;"")&lt;&gt;"—",LEN(TRIM(B33&amp;""))&gt;0,TRIM(B33&amp;"")&lt;&gt;"—",LEN(TRIM(C33&amp;""))&gt;0,TRIM(C33&amp;"")&lt;&gt;"—",LEN(TRIM(D33&amp;""))&gt;0,TRIM(D33&amp;"")&lt;&gt;"—",LEN(TRIM(E33&amp;""))&gt;0,TRIM(E33&amp;"")&lt;&gt;"—",TRIM(E33&amp;"")&lt;&gt;"—",LEN(TRIM(F33&amp;""))&gt;0,TRIM(F33&amp;"")&lt;&gt;"—",LEN(TRIM(G33&amp;""))&gt;0,TRIM(G33&amp;"")&lt;&gt;"—",LEN(TRIM(H33&amp;""))&gt;0,TRIM(H33&amp;"")&lt;&gt;"—"),"PASS","⚠ FAIL — "&amp;"'Size' placeholder '—'")</f>
        <v>⚠ FAIL — 'Size' placeholder '—'</v>
      </c>
    </row>
    <row r="34" customFormat="false" ht="28.5" hidden="false" customHeight="true" outlineLevel="0" collapsed="false">
      <c r="A34" s="68" t="s">
        <v>1734</v>
      </c>
      <c r="B34" s="68" t="s">
        <v>1689</v>
      </c>
      <c r="C34" s="68" t="str">
        <f aca="false">'Part names'!$B$55</f>
        <v>Manual Ball Valve</v>
      </c>
      <c r="D34" s="68" t="s">
        <v>1735</v>
      </c>
      <c r="E34" s="68" t="s">
        <v>480</v>
      </c>
      <c r="F34" s="68" t="s">
        <v>480</v>
      </c>
      <c r="G34" s="68" t="s">
        <v>480</v>
      </c>
      <c r="H34" s="68" t="s">
        <v>1676</v>
      </c>
      <c r="I34" s="72" t="str">
        <f aca="false">IF(AND(LEN(TRIM(A34&amp;""))&gt;0,TRIM(A34&amp;"")&lt;&gt;"—",LEN(TRIM(B34&amp;""))&gt;0,TRIM(B34&amp;"")&lt;&gt;"—",LEN(TRIM(C34&amp;""))&gt;0,TRIM(C34&amp;"")&lt;&gt;"—",LEN(TRIM(D34&amp;""))&gt;0,TRIM(D34&amp;"")&lt;&gt;"—",LEN(TRIM(E34&amp;""))&gt;0,TRIM(E34&amp;"")&lt;&gt;"—",TRIM(E34&amp;"")&lt;&gt;"—",LEN(TRIM(F34&amp;""))&gt;0,TRIM(F34&amp;"")&lt;&gt;"—",TRIM(F34&amp;"")&lt;&gt;"—",LEN(TRIM(G34&amp;""))&gt;0,TRIM(G34&amp;"")&lt;&gt;"—",TRIM(G34&amp;"")&lt;&gt;"—",LEN(TRIM(H34&amp;""))&gt;0,TRIM(H34&amp;"")&lt;&gt;"—"),"PASS","⚠ FAIL — "&amp;"'Size' placeholder '—'; 'Set / Cv' placeholder '—' +1 more")</f>
        <v>⚠ FAIL — 'Size' placeholder '—'; 'Set / Cv' placeholder '—' +1 more</v>
      </c>
    </row>
    <row r="35" customFormat="false" ht="23.85" hidden="false" customHeight="false" outlineLevel="0" collapsed="false">
      <c r="A35" s="68" t="s">
        <v>1736</v>
      </c>
      <c r="B35" s="68" t="s">
        <v>1678</v>
      </c>
      <c r="C35" s="68" t="str">
        <f aca="false">'Part names'!$B$76</f>
        <v>Pneumatic Control Valve</v>
      </c>
      <c r="D35" s="68" t="s">
        <v>1737</v>
      </c>
      <c r="E35" s="68" t="s">
        <v>480</v>
      </c>
      <c r="F35" s="68" t="s">
        <v>1682</v>
      </c>
      <c r="G35" s="68" t="s">
        <v>1683</v>
      </c>
      <c r="H35" s="68" t="s">
        <v>1676</v>
      </c>
      <c r="I35" s="72" t="str">
        <f aca="false">IF(AND(LEN(TRIM(A35&amp;""))&gt;0,TRIM(A35&amp;"")&lt;&gt;"—",LEN(TRIM(B35&amp;""))&gt;0,TRIM(B35&amp;"")&lt;&gt;"—",LEN(TRIM(C35&amp;""))&gt;0,TRIM(C35&amp;"")&lt;&gt;"—",LEN(TRIM(D35&amp;""))&gt;0,TRIM(D35&amp;"")&lt;&gt;"—",LEN(TRIM(E35&amp;""))&gt;0,TRIM(E35&amp;"")&lt;&gt;"—",TRIM(E35&amp;"")&lt;&gt;"—",LEN(TRIM(F35&amp;""))&gt;0,TRIM(F35&amp;"")&lt;&gt;"—",LEN(TRIM(G35&amp;""))&gt;0,TRIM(G35&amp;"")&lt;&gt;"—",LEN(TRIM(H35&amp;""))&gt;0,TRIM(H35&amp;"")&lt;&gt;"—"),"PASS","⚠ FAIL — "&amp;"'Size' placeholder '—'")</f>
        <v>⚠ FAIL — 'Size' placeholder '—'</v>
      </c>
    </row>
    <row r="36" customFormat="false" ht="28.5" hidden="false" customHeight="true" outlineLevel="0" collapsed="false">
      <c r="A36" s="68" t="s">
        <v>1738</v>
      </c>
      <c r="B36" s="68" t="s">
        <v>1689</v>
      </c>
      <c r="C36" s="68" t="str">
        <f aca="false">'Part names'!$B$55</f>
        <v>Manual Ball Valve</v>
      </c>
      <c r="D36" s="68" t="s">
        <v>1739</v>
      </c>
      <c r="E36" s="68" t="s">
        <v>480</v>
      </c>
      <c r="F36" s="68" t="s">
        <v>480</v>
      </c>
      <c r="G36" s="68" t="s">
        <v>480</v>
      </c>
      <c r="H36" s="68" t="s">
        <v>1676</v>
      </c>
      <c r="I36" s="72" t="str">
        <f aca="false">IF(AND(LEN(TRIM(A36&amp;""))&gt;0,TRIM(A36&amp;"")&lt;&gt;"—",LEN(TRIM(B36&amp;""))&gt;0,TRIM(B36&amp;"")&lt;&gt;"—",LEN(TRIM(C36&amp;""))&gt;0,TRIM(C36&amp;"")&lt;&gt;"—",LEN(TRIM(D36&amp;""))&gt;0,TRIM(D36&amp;"")&lt;&gt;"—",LEN(TRIM(E36&amp;""))&gt;0,TRIM(E36&amp;"")&lt;&gt;"—",TRIM(E36&amp;"")&lt;&gt;"—",LEN(TRIM(F36&amp;""))&gt;0,TRIM(F36&amp;"")&lt;&gt;"—",TRIM(F36&amp;"")&lt;&gt;"—",LEN(TRIM(G36&amp;""))&gt;0,TRIM(G36&amp;"")&lt;&gt;"—",TRIM(G36&amp;"")&lt;&gt;"—",LEN(TRIM(H36&amp;""))&gt;0,TRIM(H36&amp;"")&lt;&gt;"—"),"PASS","⚠ FAIL — "&amp;"'Size' placeholder '—'; 'Set / Cv' placeholder '—' +1 more")</f>
        <v>⚠ FAIL — 'Size' placeholder '—'; 'Set / Cv' placeholder '—' +1 more</v>
      </c>
    </row>
    <row r="37" customFormat="false" ht="28.5" hidden="false" customHeight="true" outlineLevel="0" collapsed="false">
      <c r="A37" s="68" t="s">
        <v>1740</v>
      </c>
      <c r="B37" s="68" t="s">
        <v>1724</v>
      </c>
      <c r="C37" s="68" t="str">
        <f aca="false">'Part names'!$B$7</f>
        <v>Automated Ball Valves</v>
      </c>
      <c r="D37" s="68" t="s">
        <v>1741</v>
      </c>
      <c r="E37" s="68" t="s">
        <v>480</v>
      </c>
      <c r="F37" s="68" t="s">
        <v>1722</v>
      </c>
      <c r="G37" s="68" t="s">
        <v>1683</v>
      </c>
      <c r="H37" s="68" t="s">
        <v>1676</v>
      </c>
      <c r="I37" s="72" t="str">
        <f aca="false">IF(AND(LEN(TRIM(A37&amp;""))&gt;0,TRIM(A37&amp;"")&lt;&gt;"—",LEN(TRIM(B37&amp;""))&gt;0,TRIM(B37&amp;"")&lt;&gt;"—",LEN(TRIM(C37&amp;""))&gt;0,TRIM(C37&amp;"")&lt;&gt;"—",LEN(TRIM(D37&amp;""))&gt;0,TRIM(D37&amp;"")&lt;&gt;"—",LEN(TRIM(E37&amp;""))&gt;0,TRIM(E37&amp;"")&lt;&gt;"—",TRIM(E37&amp;"")&lt;&gt;"—",LEN(TRIM(F37&amp;""))&gt;0,TRIM(F37&amp;"")&lt;&gt;"—",LEN(TRIM(G37&amp;""))&gt;0,TRIM(G37&amp;"")&lt;&gt;"—",LEN(TRIM(H37&amp;""))&gt;0,TRIM(H37&amp;"")&lt;&gt;"—"),"PASS","⚠ FAIL — "&amp;"'Size' placeholder '—'")</f>
        <v>⚠ FAIL — 'Size' placeholder '—'</v>
      </c>
    </row>
    <row r="38" customFormat="false" ht="28.5" hidden="false" customHeight="true" outlineLevel="0" collapsed="false">
      <c r="A38" s="68" t="s">
        <v>1742</v>
      </c>
      <c r="B38" s="68" t="s">
        <v>1685</v>
      </c>
      <c r="C38" s="68" t="str">
        <f aca="false">'Part names'!$B$78</f>
        <v>Pressure Relief Valve</v>
      </c>
      <c r="D38" s="68" t="str">
        <f aca="false">'Part names'!$A$87</f>
        <v>V-106</v>
      </c>
      <c r="E38" s="68" t="s">
        <v>1687</v>
      </c>
      <c r="F38" s="68" t="s">
        <v>480</v>
      </c>
      <c r="G38" s="68" t="s">
        <v>480</v>
      </c>
      <c r="H38" s="68" t="s">
        <v>1676</v>
      </c>
      <c r="I38" s="72" t="str">
        <f aca="false">IF(AND(LEN(TRIM(A38&amp;""))&gt;0,TRIM(A38&amp;"")&lt;&gt;"—",LEN(TRIM(B38&amp;""))&gt;0,TRIM(B38&amp;"")&lt;&gt;"—",LEN(TRIM(C38&amp;""))&gt;0,TRIM(C38&amp;"")&lt;&gt;"—",LEN(TRIM(D38&amp;""))&gt;0,TRIM(D38&amp;"")&lt;&gt;"—",LEN(TRIM(E38&amp;""))&gt;0,TRIM(E38&amp;"")&lt;&gt;"—",LEN(TRIM(F38&amp;""))&gt;0,TRIM(F38&amp;"")&lt;&gt;"—",TRIM(F38&amp;"")&lt;&gt;"—",LEN(TRIM(G38&amp;""))&gt;0,TRIM(G38&amp;"")&lt;&gt;"—",TRIM(G38&amp;"")&lt;&gt;"—",LEN(TRIM(H38&amp;""))&gt;0,TRIM(H38&amp;"")&lt;&gt;"—"),"PASS","⚠ FAIL — "&amp;"'Set / Cv' placeholder '—'; 'Fail' placeholder '—'")</f>
        <v>⚠ FAIL — 'Set / Cv' placeholder '—'; 'Fail' placeholder '—'</v>
      </c>
    </row>
    <row r="39" customFormat="false" ht="28.5" hidden="false" customHeight="true" outlineLevel="0" collapsed="false">
      <c r="A39" s="68" t="s">
        <v>1743</v>
      </c>
      <c r="B39" s="68" t="s">
        <v>1674</v>
      </c>
      <c r="C39" s="68" t="str">
        <f aca="false">'Part names'!$B$10</f>
        <v>Check Valve</v>
      </c>
      <c r="D39" s="68" t="s">
        <v>1744</v>
      </c>
      <c r="E39" s="68" t="s">
        <v>480</v>
      </c>
      <c r="F39" s="68" t="s">
        <v>480</v>
      </c>
      <c r="G39" s="68" t="s">
        <v>480</v>
      </c>
      <c r="H39" s="68" t="s">
        <v>1676</v>
      </c>
      <c r="I39" s="72" t="str">
        <f aca="false">IF(AND(LEN(TRIM(A39&amp;""))&gt;0,TRIM(A39&amp;"")&lt;&gt;"—",LEN(TRIM(B39&amp;""))&gt;0,TRIM(B39&amp;"")&lt;&gt;"—",LEN(TRIM(C39&amp;""))&gt;0,TRIM(C39&amp;"")&lt;&gt;"—",LEN(TRIM(D39&amp;""))&gt;0,TRIM(D39&amp;"")&lt;&gt;"—",LEN(TRIM(E39&amp;""))&gt;0,TRIM(E39&amp;"")&lt;&gt;"—",TRIM(E39&amp;"")&lt;&gt;"—",LEN(TRIM(F39&amp;""))&gt;0,TRIM(F39&amp;"")&lt;&gt;"—",TRIM(F39&amp;"")&lt;&gt;"—",LEN(TRIM(G39&amp;""))&gt;0,TRIM(G39&amp;"")&lt;&gt;"—",TRIM(G39&amp;"")&lt;&gt;"—",LEN(TRIM(H39&amp;""))&gt;0,TRIM(H39&amp;"")&lt;&gt;"—"),"PASS","⚠ FAIL — "&amp;"'Size' placeholder '—'; 'Set / Cv' placeholder '—' +1 more")</f>
        <v>⚠ FAIL — 'Size' placeholder '—'; 'Set / Cv' placeholder '—' +1 more</v>
      </c>
    </row>
    <row r="40" customFormat="false" ht="28.5" hidden="false" customHeight="true" outlineLevel="0" collapsed="false">
      <c r="A40" s="68" t="s">
        <v>1745</v>
      </c>
      <c r="B40" s="68" t="s">
        <v>1689</v>
      </c>
      <c r="C40" s="68" t="str">
        <f aca="false">'Part names'!$B$48</f>
        <v>Isolation Valves</v>
      </c>
      <c r="D40" s="68" t="s">
        <v>1746</v>
      </c>
      <c r="E40" s="68" t="s">
        <v>480</v>
      </c>
      <c r="F40" s="68" t="s">
        <v>480</v>
      </c>
      <c r="G40" s="68" t="s">
        <v>480</v>
      </c>
      <c r="H40" s="68" t="s">
        <v>1676</v>
      </c>
      <c r="I40" s="72" t="str">
        <f aca="false">IF(AND(LEN(TRIM(A40&amp;""))&gt;0,TRIM(A40&amp;"")&lt;&gt;"—",LEN(TRIM(B40&amp;""))&gt;0,TRIM(B40&amp;"")&lt;&gt;"—",LEN(TRIM(C40&amp;""))&gt;0,TRIM(C40&amp;"")&lt;&gt;"—",LEN(TRIM(D40&amp;""))&gt;0,TRIM(D40&amp;"")&lt;&gt;"—",LEN(TRIM(E40&amp;""))&gt;0,TRIM(E40&amp;"")&lt;&gt;"—",TRIM(E40&amp;"")&lt;&gt;"—",LEN(TRIM(F40&amp;""))&gt;0,TRIM(F40&amp;"")&lt;&gt;"—",TRIM(F40&amp;"")&lt;&gt;"—",LEN(TRIM(G40&amp;""))&gt;0,TRIM(G40&amp;"")&lt;&gt;"—",TRIM(G40&amp;"")&lt;&gt;"—",LEN(TRIM(H40&amp;""))&gt;0,TRIM(H40&amp;"")&lt;&gt;"—"),"PASS","⚠ FAIL — "&amp;"'Size' placeholder '—'; 'Set / Cv' placeholder '—' +1 more")</f>
        <v>⚠ FAIL — 'Size' placeholder '—'; 'Set / Cv' placeholder '—' +1 more</v>
      </c>
    </row>
    <row r="42" customFormat="false" ht="15" hidden="false" customHeight="false" outlineLevel="0" collapsed="false">
      <c r="A42" s="8" t="s">
        <v>1747</v>
      </c>
      <c r="B42" s="8"/>
      <c r="C42" s="8"/>
      <c r="D42" s="8"/>
      <c r="E42" s="8"/>
      <c r="F42" s="8"/>
      <c r="G42" s="8"/>
      <c r="H42" s="8"/>
      <c r="I42" s="8"/>
    </row>
    <row r="43" customFormat="false" ht="15" hidden="false" customHeight="false" outlineLevel="0" collapsed="false">
      <c r="A43" s="9" t="s">
        <v>406</v>
      </c>
      <c r="B43" s="9" t="s">
        <v>1748</v>
      </c>
      <c r="C43" s="9" t="s">
        <v>1668</v>
      </c>
      <c r="D43" s="9" t="s">
        <v>1749</v>
      </c>
      <c r="E43" s="9" t="s">
        <v>1667</v>
      </c>
      <c r="F43" s="9" t="s">
        <v>1750</v>
      </c>
      <c r="G43" s="9" t="s">
        <v>1751</v>
      </c>
      <c r="H43" s="9" t="s">
        <v>1752</v>
      </c>
      <c r="I43" s="9" t="s">
        <v>1753</v>
      </c>
      <c r="J43" s="10" t="s">
        <v>20</v>
      </c>
    </row>
    <row r="44" customFormat="false" ht="28.5" hidden="false" customHeight="true" outlineLevel="0" collapsed="false">
      <c r="A44" s="68" t="s">
        <v>1754</v>
      </c>
      <c r="B44" s="68" t="s">
        <v>1755</v>
      </c>
      <c r="C44" s="68" t="s">
        <v>1756</v>
      </c>
      <c r="D44" s="68" t="s">
        <v>1757</v>
      </c>
      <c r="E44" s="68" t="s">
        <v>1758</v>
      </c>
      <c r="F44" s="68" t="s">
        <v>1759</v>
      </c>
      <c r="G44" s="68" t="s">
        <v>480</v>
      </c>
      <c r="H44" s="68" t="s">
        <v>1760</v>
      </c>
      <c r="I44" s="68" t="s">
        <v>1676</v>
      </c>
      <c r="J44" s="72" t="str">
        <f aca="false">IF(AND(LEN(TRIM(A44&amp;""))&gt;0,TRIM(A44&amp;"")&lt;&gt;"—",LEN(TRIM(B44&amp;""))&gt;0,TRIM(B44&amp;"")&lt;&gt;"—",LEN(TRIM(C44&amp;""))&gt;0,TRIM(C44&amp;"")&lt;&gt;"—",LEN(TRIM(D44&amp;""))&gt;0,TRIM(D44&amp;"")&lt;&gt;"—",LEN(TRIM(E44&amp;""))&gt;0,TRIM(E44&amp;"")&lt;&gt;"—",LEN(TRIM(F44&amp;""))&gt;0,TRIM(F44&amp;"")&lt;&gt;"—",LEN(TRIM(G44&amp;""))&gt;0,TRIM(G44&amp;"")&lt;&gt;"—",TRIM(G44&amp;"")&lt;&gt;"—",LEN(TRIM(H44&amp;""))&gt;0,TRIM(H44&amp;"")&lt;&gt;"—",LEN(TRIM(I44&amp;""))&gt;0,TRIM(I44&amp;"")&lt;&gt;"—"),"PASS","⚠ FAIL — "&amp;"'Range' placeholder '—'")</f>
        <v>⚠ FAIL — 'Range' placeholder '—'</v>
      </c>
    </row>
    <row r="45" customFormat="false" ht="28.5" hidden="false" customHeight="true" outlineLevel="0" collapsed="false">
      <c r="A45" s="68" t="s">
        <v>1761</v>
      </c>
      <c r="B45" s="68" t="s">
        <v>1755</v>
      </c>
      <c r="C45" s="68" t="s">
        <v>1756</v>
      </c>
      <c r="D45" s="68" t="s">
        <v>1757</v>
      </c>
      <c r="E45" s="68" t="s">
        <v>1758</v>
      </c>
      <c r="F45" s="68" t="str">
        <f aca="false">'Part names'!$A$96</f>
        <v>Z-102</v>
      </c>
      <c r="G45" s="68" t="s">
        <v>480</v>
      </c>
      <c r="H45" s="68" t="s">
        <v>1760</v>
      </c>
      <c r="I45" s="68" t="s">
        <v>1676</v>
      </c>
      <c r="J45" s="72" t="str">
        <f aca="false">IF(AND(LEN(TRIM(A45&amp;""))&gt;0,TRIM(A45&amp;"")&lt;&gt;"—",LEN(TRIM(B45&amp;""))&gt;0,TRIM(B45&amp;"")&lt;&gt;"—",LEN(TRIM(C45&amp;""))&gt;0,TRIM(C45&amp;"")&lt;&gt;"—",LEN(TRIM(D45&amp;""))&gt;0,TRIM(D45&amp;"")&lt;&gt;"—",LEN(TRIM(E45&amp;""))&gt;0,TRIM(E45&amp;"")&lt;&gt;"—",LEN(TRIM(F45&amp;""))&gt;0,TRIM(F45&amp;"")&lt;&gt;"—",LEN(TRIM(G45&amp;""))&gt;0,TRIM(G45&amp;"")&lt;&gt;"—",TRIM(G45&amp;"")&lt;&gt;"—",LEN(TRIM(H45&amp;""))&gt;0,TRIM(H45&amp;"")&lt;&gt;"—",LEN(TRIM(I45&amp;""))&gt;0,TRIM(I45&amp;"")&lt;&gt;"—"),"PASS","⚠ FAIL — "&amp;"'Range' placeholder '—'")</f>
        <v>⚠ FAIL — 'Range' placeholder '—'</v>
      </c>
    </row>
    <row r="46" customFormat="false" ht="28.5" hidden="false" customHeight="true" outlineLevel="0" collapsed="false">
      <c r="A46" s="68" t="s">
        <v>1762</v>
      </c>
      <c r="B46" s="68" t="s">
        <v>1755</v>
      </c>
      <c r="C46" s="68" t="s">
        <v>1763</v>
      </c>
      <c r="D46" s="68" t="s">
        <v>1757</v>
      </c>
      <c r="E46" s="68" t="s">
        <v>1758</v>
      </c>
      <c r="F46" s="68" t="s">
        <v>1764</v>
      </c>
      <c r="G46" s="68" t="s">
        <v>480</v>
      </c>
      <c r="H46" s="68" t="s">
        <v>1760</v>
      </c>
      <c r="I46" s="68" t="s">
        <v>1676</v>
      </c>
      <c r="J46" s="72" t="str">
        <f aca="false">IF(AND(LEN(TRIM(A46&amp;""))&gt;0,TRIM(A46&amp;"")&lt;&gt;"—",LEN(TRIM(B46&amp;""))&gt;0,TRIM(B46&amp;"")&lt;&gt;"—",LEN(TRIM(C46&amp;""))&gt;0,TRIM(C46&amp;"")&lt;&gt;"—",LEN(TRIM(D46&amp;""))&gt;0,TRIM(D46&amp;"")&lt;&gt;"—",LEN(TRIM(E46&amp;""))&gt;0,TRIM(E46&amp;"")&lt;&gt;"—",LEN(TRIM(F46&amp;""))&gt;0,TRIM(F46&amp;"")&lt;&gt;"—",LEN(TRIM(G46&amp;""))&gt;0,TRIM(G46&amp;"")&lt;&gt;"—",TRIM(G46&amp;"")&lt;&gt;"—",LEN(TRIM(H46&amp;""))&gt;0,TRIM(H46&amp;"")&lt;&gt;"—",LEN(TRIM(I46&amp;""))&gt;0,TRIM(I46&amp;"")&lt;&gt;"—"),"PASS","⚠ FAIL — "&amp;"'Range' placeholder '—'")</f>
        <v>⚠ FAIL — 'Range' placeholder '—'</v>
      </c>
    </row>
    <row r="47" customFormat="false" ht="28.5" hidden="false" customHeight="true" outlineLevel="0" collapsed="false">
      <c r="A47" s="68" t="s">
        <v>1765</v>
      </c>
      <c r="B47" s="68" t="s">
        <v>1755</v>
      </c>
      <c r="C47" s="68" t="s">
        <v>1763</v>
      </c>
      <c r="D47" s="68" t="s">
        <v>1757</v>
      </c>
      <c r="E47" s="68" t="s">
        <v>1758</v>
      </c>
      <c r="F47" s="68" t="str">
        <f aca="false">'Part names'!$A$82</f>
        <v>P-101</v>
      </c>
      <c r="G47" s="68" t="s">
        <v>480</v>
      </c>
      <c r="H47" s="68" t="s">
        <v>1760</v>
      </c>
      <c r="I47" s="68" t="s">
        <v>1676</v>
      </c>
      <c r="J47" s="72" t="str">
        <f aca="false">IF(AND(LEN(TRIM(A47&amp;""))&gt;0,TRIM(A47&amp;"")&lt;&gt;"—",LEN(TRIM(B47&amp;""))&gt;0,TRIM(B47&amp;"")&lt;&gt;"—",LEN(TRIM(C47&amp;""))&gt;0,TRIM(C47&amp;"")&lt;&gt;"—",LEN(TRIM(D47&amp;""))&gt;0,TRIM(D47&amp;"")&lt;&gt;"—",LEN(TRIM(E47&amp;""))&gt;0,TRIM(E47&amp;"")&lt;&gt;"—",LEN(TRIM(F47&amp;""))&gt;0,TRIM(F47&amp;"")&lt;&gt;"—",LEN(TRIM(G47&amp;""))&gt;0,TRIM(G47&amp;"")&lt;&gt;"—",TRIM(G47&amp;"")&lt;&gt;"—",LEN(TRIM(H47&amp;""))&gt;0,TRIM(H47&amp;"")&lt;&gt;"—",LEN(TRIM(I47&amp;""))&gt;0,TRIM(I47&amp;"")&lt;&gt;"—"),"PASS","⚠ FAIL — "&amp;"'Range' placeholder '—'")</f>
        <v>⚠ FAIL — 'Range' placeholder '—'</v>
      </c>
    </row>
    <row r="48" customFormat="false" ht="28.5" hidden="false" customHeight="true" outlineLevel="0" collapsed="false">
      <c r="A48" s="68" t="s">
        <v>1766</v>
      </c>
      <c r="B48" s="68" t="s">
        <v>1755</v>
      </c>
      <c r="C48" s="68" t="s">
        <v>1756</v>
      </c>
      <c r="D48" s="68" t="s">
        <v>1757</v>
      </c>
      <c r="E48" s="68" t="s">
        <v>1758</v>
      </c>
      <c r="F48" s="68" t="str">
        <f aca="false">'Part names'!$A$38</f>
        <v>V-105</v>
      </c>
      <c r="G48" s="68" t="s">
        <v>480</v>
      </c>
      <c r="H48" s="68" t="s">
        <v>1760</v>
      </c>
      <c r="I48" s="68" t="s">
        <v>1676</v>
      </c>
      <c r="J48" s="72" t="str">
        <f aca="false">IF(AND(LEN(TRIM(A48&amp;""))&gt;0,TRIM(A48&amp;"")&lt;&gt;"—",LEN(TRIM(B48&amp;""))&gt;0,TRIM(B48&amp;"")&lt;&gt;"—",LEN(TRIM(C48&amp;""))&gt;0,TRIM(C48&amp;"")&lt;&gt;"—",LEN(TRIM(D48&amp;""))&gt;0,TRIM(D48&amp;"")&lt;&gt;"—",LEN(TRIM(E48&amp;""))&gt;0,TRIM(E48&amp;"")&lt;&gt;"—",LEN(TRIM(F48&amp;""))&gt;0,TRIM(F48&amp;"")&lt;&gt;"—",LEN(TRIM(G48&amp;""))&gt;0,TRIM(G48&amp;"")&lt;&gt;"—",TRIM(G48&amp;"")&lt;&gt;"—",LEN(TRIM(H48&amp;""))&gt;0,TRIM(H48&amp;"")&lt;&gt;"—",LEN(TRIM(I48&amp;""))&gt;0,TRIM(I48&amp;"")&lt;&gt;"—"),"PASS","⚠ FAIL — "&amp;"'Range' placeholder '—'")</f>
        <v>⚠ FAIL — 'Range' placeholder '—'</v>
      </c>
    </row>
    <row r="49" customFormat="false" ht="28.5" hidden="false" customHeight="true" outlineLevel="0" collapsed="false">
      <c r="A49" s="68" t="s">
        <v>1767</v>
      </c>
      <c r="B49" s="68" t="s">
        <v>1755</v>
      </c>
      <c r="C49" s="68" t="s">
        <v>1763</v>
      </c>
      <c r="D49" s="68" t="s">
        <v>1757</v>
      </c>
      <c r="E49" s="68" t="s">
        <v>1758</v>
      </c>
      <c r="F49" s="68" t="str">
        <f aca="false">'Part names'!$A$82</f>
        <v>P-101</v>
      </c>
      <c r="G49" s="68" t="s">
        <v>480</v>
      </c>
      <c r="H49" s="68" t="s">
        <v>1760</v>
      </c>
      <c r="I49" s="68" t="s">
        <v>1676</v>
      </c>
      <c r="J49" s="72" t="str">
        <f aca="false">IF(AND(LEN(TRIM(A49&amp;""))&gt;0,TRIM(A49&amp;"")&lt;&gt;"—",LEN(TRIM(B49&amp;""))&gt;0,TRIM(B49&amp;"")&lt;&gt;"—",LEN(TRIM(C49&amp;""))&gt;0,TRIM(C49&amp;"")&lt;&gt;"—",LEN(TRIM(D49&amp;""))&gt;0,TRIM(D49&amp;"")&lt;&gt;"—",LEN(TRIM(E49&amp;""))&gt;0,TRIM(E49&amp;"")&lt;&gt;"—",LEN(TRIM(F49&amp;""))&gt;0,TRIM(F49&amp;"")&lt;&gt;"—",LEN(TRIM(G49&amp;""))&gt;0,TRIM(G49&amp;"")&lt;&gt;"—",TRIM(G49&amp;"")&lt;&gt;"—",LEN(TRIM(H49&amp;""))&gt;0,TRIM(H49&amp;"")&lt;&gt;"—",LEN(TRIM(I49&amp;""))&gt;0,TRIM(I49&amp;"")&lt;&gt;"—"),"PASS","⚠ FAIL — "&amp;"'Range' placeholder '—'")</f>
        <v>⚠ FAIL — 'Range' placeholder '—'</v>
      </c>
    </row>
    <row r="50" customFormat="false" ht="28.5" hidden="false" customHeight="true" outlineLevel="0" collapsed="false">
      <c r="A50" s="68" t="s">
        <v>1768</v>
      </c>
      <c r="B50" s="68" t="s">
        <v>1755</v>
      </c>
      <c r="C50" s="68" t="s">
        <v>1756</v>
      </c>
      <c r="D50" s="68" t="s">
        <v>1757</v>
      </c>
      <c r="E50" s="68" t="s">
        <v>1758</v>
      </c>
      <c r="F50" s="68" t="str">
        <f aca="false">'Part names'!$A$82</f>
        <v>P-101</v>
      </c>
      <c r="G50" s="68" t="s">
        <v>480</v>
      </c>
      <c r="H50" s="68" t="s">
        <v>1760</v>
      </c>
      <c r="I50" s="68" t="s">
        <v>1676</v>
      </c>
      <c r="J50" s="72" t="str">
        <f aca="false">IF(AND(LEN(TRIM(A50&amp;""))&gt;0,TRIM(A50&amp;"")&lt;&gt;"—",LEN(TRIM(B50&amp;""))&gt;0,TRIM(B50&amp;"")&lt;&gt;"—",LEN(TRIM(C50&amp;""))&gt;0,TRIM(C50&amp;"")&lt;&gt;"—",LEN(TRIM(D50&amp;""))&gt;0,TRIM(D50&amp;"")&lt;&gt;"—",LEN(TRIM(E50&amp;""))&gt;0,TRIM(E50&amp;"")&lt;&gt;"—",LEN(TRIM(F50&amp;""))&gt;0,TRIM(F50&amp;"")&lt;&gt;"—",LEN(TRIM(G50&amp;""))&gt;0,TRIM(G50&amp;"")&lt;&gt;"—",TRIM(G50&amp;"")&lt;&gt;"—",LEN(TRIM(H50&amp;""))&gt;0,TRIM(H50&amp;"")&lt;&gt;"—",LEN(TRIM(I50&amp;""))&gt;0,TRIM(I50&amp;"")&lt;&gt;"—"),"PASS","⚠ FAIL — "&amp;"'Range' placeholder '—'")</f>
        <v>⚠ FAIL — 'Range' placeholder '—'</v>
      </c>
    </row>
    <row r="51" customFormat="false" ht="28.5" hidden="false" customHeight="true" outlineLevel="0" collapsed="false">
      <c r="A51" s="68" t="s">
        <v>1769</v>
      </c>
      <c r="B51" s="68" t="s">
        <v>1755</v>
      </c>
      <c r="C51" s="68" t="s">
        <v>1763</v>
      </c>
      <c r="D51" s="68" t="s">
        <v>1757</v>
      </c>
      <c r="E51" s="68" t="s">
        <v>1758</v>
      </c>
      <c r="F51" s="68" t="str">
        <f aca="false">'Part names'!$A$82</f>
        <v>P-101</v>
      </c>
      <c r="G51" s="68" t="s">
        <v>480</v>
      </c>
      <c r="H51" s="68" t="s">
        <v>1760</v>
      </c>
      <c r="I51" s="68" t="s">
        <v>1676</v>
      </c>
      <c r="J51" s="72" t="str">
        <f aca="false">IF(AND(LEN(TRIM(A51&amp;""))&gt;0,TRIM(A51&amp;"")&lt;&gt;"—",LEN(TRIM(B51&amp;""))&gt;0,TRIM(B51&amp;"")&lt;&gt;"—",LEN(TRIM(C51&amp;""))&gt;0,TRIM(C51&amp;"")&lt;&gt;"—",LEN(TRIM(D51&amp;""))&gt;0,TRIM(D51&amp;"")&lt;&gt;"—",LEN(TRIM(E51&amp;""))&gt;0,TRIM(E51&amp;"")&lt;&gt;"—",LEN(TRIM(F51&amp;""))&gt;0,TRIM(F51&amp;"")&lt;&gt;"—",LEN(TRIM(G51&amp;""))&gt;0,TRIM(G51&amp;"")&lt;&gt;"—",TRIM(G51&amp;"")&lt;&gt;"—",LEN(TRIM(H51&amp;""))&gt;0,TRIM(H51&amp;"")&lt;&gt;"—",LEN(TRIM(I51&amp;""))&gt;0,TRIM(I51&amp;"")&lt;&gt;"—"),"PASS","⚠ FAIL — "&amp;"'Range' placeholder '—'")</f>
        <v>⚠ FAIL — 'Range' placeholder '—'</v>
      </c>
    </row>
    <row r="52" customFormat="false" ht="28.5" hidden="false" customHeight="true" outlineLevel="0" collapsed="false">
      <c r="A52" s="68" t="s">
        <v>1770</v>
      </c>
      <c r="B52" s="68" t="s">
        <v>1755</v>
      </c>
      <c r="C52" s="68" t="s">
        <v>1756</v>
      </c>
      <c r="D52" s="68" t="s">
        <v>1757</v>
      </c>
      <c r="E52" s="68" t="s">
        <v>1758</v>
      </c>
      <c r="F52" s="68" t="str">
        <f aca="false">'Part names'!$A$82</f>
        <v>P-101</v>
      </c>
      <c r="G52" s="68" t="s">
        <v>480</v>
      </c>
      <c r="H52" s="68" t="s">
        <v>1760</v>
      </c>
      <c r="I52" s="68" t="s">
        <v>1676</v>
      </c>
      <c r="J52" s="72" t="str">
        <f aca="false">IF(AND(LEN(TRIM(A52&amp;""))&gt;0,TRIM(A52&amp;"")&lt;&gt;"—",LEN(TRIM(B52&amp;""))&gt;0,TRIM(B52&amp;"")&lt;&gt;"—",LEN(TRIM(C52&amp;""))&gt;0,TRIM(C52&amp;"")&lt;&gt;"—",LEN(TRIM(D52&amp;""))&gt;0,TRIM(D52&amp;"")&lt;&gt;"—",LEN(TRIM(E52&amp;""))&gt;0,TRIM(E52&amp;"")&lt;&gt;"—",LEN(TRIM(F52&amp;""))&gt;0,TRIM(F52&amp;"")&lt;&gt;"—",LEN(TRIM(G52&amp;""))&gt;0,TRIM(G52&amp;"")&lt;&gt;"—",TRIM(G52&amp;"")&lt;&gt;"—",LEN(TRIM(H52&amp;""))&gt;0,TRIM(H52&amp;"")&lt;&gt;"—",LEN(TRIM(I52&amp;""))&gt;0,TRIM(I52&amp;"")&lt;&gt;"—"),"PASS","⚠ FAIL — "&amp;"'Range' placeholder '—'")</f>
        <v>⚠ FAIL — 'Range' placeholder '—'</v>
      </c>
    </row>
    <row r="53" customFormat="false" ht="28.5" hidden="false" customHeight="true" outlineLevel="0" collapsed="false">
      <c r="A53" s="68" t="s">
        <v>1771</v>
      </c>
      <c r="B53" s="68" t="s">
        <v>1755</v>
      </c>
      <c r="C53" s="68" t="s">
        <v>1756</v>
      </c>
      <c r="D53" s="68" t="s">
        <v>1757</v>
      </c>
      <c r="E53" s="68" t="s">
        <v>1758</v>
      </c>
      <c r="F53" s="68" t="s">
        <v>1759</v>
      </c>
      <c r="G53" s="68" t="s">
        <v>480</v>
      </c>
      <c r="H53" s="68" t="s">
        <v>1760</v>
      </c>
      <c r="I53" s="68" t="s">
        <v>1676</v>
      </c>
      <c r="J53" s="72" t="str">
        <f aca="false">IF(AND(LEN(TRIM(A53&amp;""))&gt;0,TRIM(A53&amp;"")&lt;&gt;"—",LEN(TRIM(B53&amp;""))&gt;0,TRIM(B53&amp;"")&lt;&gt;"—",LEN(TRIM(C53&amp;""))&gt;0,TRIM(C53&amp;"")&lt;&gt;"—",LEN(TRIM(D53&amp;""))&gt;0,TRIM(D53&amp;"")&lt;&gt;"—",LEN(TRIM(E53&amp;""))&gt;0,TRIM(E53&amp;"")&lt;&gt;"—",LEN(TRIM(F53&amp;""))&gt;0,TRIM(F53&amp;"")&lt;&gt;"—",LEN(TRIM(G53&amp;""))&gt;0,TRIM(G53&amp;"")&lt;&gt;"—",TRIM(G53&amp;"")&lt;&gt;"—",LEN(TRIM(H53&amp;""))&gt;0,TRIM(H53&amp;"")&lt;&gt;"—",LEN(TRIM(I53&amp;""))&gt;0,TRIM(I53&amp;"")&lt;&gt;"—"),"PASS","⚠ FAIL — "&amp;"'Range' placeholder '—'")</f>
        <v>⚠ FAIL — 'Range' placeholder '—'</v>
      </c>
    </row>
    <row r="54" customFormat="false" ht="28.5" hidden="false" customHeight="true" outlineLevel="0" collapsed="false">
      <c r="A54" s="68" t="s">
        <v>1772</v>
      </c>
      <c r="B54" s="68" t="s">
        <v>1755</v>
      </c>
      <c r="C54" s="68" t="s">
        <v>1756</v>
      </c>
      <c r="D54" s="68" t="s">
        <v>1757</v>
      </c>
      <c r="E54" s="68" t="s">
        <v>1758</v>
      </c>
      <c r="F54" s="68" t="s">
        <v>1773</v>
      </c>
      <c r="G54" s="68" t="s">
        <v>480</v>
      </c>
      <c r="H54" s="68" t="s">
        <v>1760</v>
      </c>
      <c r="I54" s="68" t="s">
        <v>1676</v>
      </c>
      <c r="J54" s="72" t="str">
        <f aca="false">IF(AND(LEN(TRIM(A54&amp;""))&gt;0,TRIM(A54&amp;"")&lt;&gt;"—",LEN(TRIM(B54&amp;""))&gt;0,TRIM(B54&amp;"")&lt;&gt;"—",LEN(TRIM(C54&amp;""))&gt;0,TRIM(C54&amp;"")&lt;&gt;"—",LEN(TRIM(D54&amp;""))&gt;0,TRIM(D54&amp;"")&lt;&gt;"—",LEN(TRIM(E54&amp;""))&gt;0,TRIM(E54&amp;"")&lt;&gt;"—",LEN(TRIM(F54&amp;""))&gt;0,TRIM(F54&amp;"")&lt;&gt;"—",LEN(TRIM(G54&amp;""))&gt;0,TRIM(G54&amp;"")&lt;&gt;"—",TRIM(G54&amp;"")&lt;&gt;"—",LEN(TRIM(H54&amp;""))&gt;0,TRIM(H54&amp;"")&lt;&gt;"—",LEN(TRIM(I54&amp;""))&gt;0,TRIM(I54&amp;"")&lt;&gt;"—"),"PASS","⚠ FAIL — "&amp;"'Range' placeholder '—'")</f>
        <v>⚠ FAIL — 'Range' placeholder '—'</v>
      </c>
    </row>
    <row r="55" customFormat="false" ht="28.5" hidden="false" customHeight="true" outlineLevel="0" collapsed="false">
      <c r="A55" s="68" t="s">
        <v>1774</v>
      </c>
      <c r="B55" s="68" t="s">
        <v>1775</v>
      </c>
      <c r="C55" s="68" t="str">
        <f aca="false">'Part names'!$B$35</f>
        <v>Flow Meter</v>
      </c>
      <c r="D55" s="68" t="s">
        <v>1776</v>
      </c>
      <c r="E55" s="68" t="s">
        <v>1777</v>
      </c>
      <c r="F55" s="68" t="s">
        <v>1778</v>
      </c>
      <c r="G55" s="68" t="s">
        <v>480</v>
      </c>
      <c r="H55" s="68" t="s">
        <v>1760</v>
      </c>
      <c r="I55" s="68" t="s">
        <v>1676</v>
      </c>
      <c r="J55" s="72" t="str">
        <f aca="false">IF(AND(LEN(TRIM(A55&amp;""))&gt;0,TRIM(A55&amp;"")&lt;&gt;"—",LEN(TRIM(B55&amp;""))&gt;0,TRIM(B55&amp;"")&lt;&gt;"—",LEN(TRIM(C55&amp;""))&gt;0,TRIM(C55&amp;"")&lt;&gt;"—",LEN(TRIM(D55&amp;""))&gt;0,TRIM(D55&amp;"")&lt;&gt;"—",LEN(TRIM(E55&amp;""))&gt;0,TRIM(E55&amp;"")&lt;&gt;"—",LEN(TRIM(F55&amp;""))&gt;0,TRIM(F55&amp;"")&lt;&gt;"—",LEN(TRIM(G55&amp;""))&gt;0,TRIM(G55&amp;"")&lt;&gt;"—",TRIM(G55&amp;"")&lt;&gt;"—",LEN(TRIM(H55&amp;""))&gt;0,TRIM(H55&amp;"")&lt;&gt;"—",LEN(TRIM(I55&amp;""))&gt;0,TRIM(I55&amp;"")&lt;&gt;"—"),"PASS","⚠ FAIL — "&amp;"'Range' placeholder '—'")</f>
        <v>⚠ FAIL — 'Range' placeholder '—'</v>
      </c>
    </row>
    <row r="56" customFormat="false" ht="28.5" hidden="false" customHeight="true" outlineLevel="0" collapsed="false">
      <c r="A56" s="68" t="s">
        <v>1779</v>
      </c>
      <c r="B56" s="68" t="s">
        <v>1780</v>
      </c>
      <c r="C56" s="68" t="str">
        <f aca="false">'Part names'!$B$71</f>
        <v>Ph Sensor</v>
      </c>
      <c r="D56" s="68" t="s">
        <v>1781</v>
      </c>
      <c r="E56" s="68" t="s">
        <v>1782</v>
      </c>
      <c r="F56" s="68" t="s">
        <v>1783</v>
      </c>
      <c r="G56" s="68" t="s">
        <v>1784</v>
      </c>
      <c r="H56" s="68" t="s">
        <v>1760</v>
      </c>
      <c r="I56" s="68" t="s">
        <v>1676</v>
      </c>
      <c r="J56" s="16" t="str">
        <f aca="false">IF(AND(LEN(TRIM(A56&amp;""))&gt;0,TRIM(A56&amp;"")&lt;&gt;"—",LEN(TRIM(B56&amp;""))&gt;0,TRIM(B56&amp;"")&lt;&gt;"—",LEN(TRIM(C56&amp;""))&gt;0,TRIM(C56&amp;"")&lt;&gt;"—",LEN(TRIM(D56&amp;""))&gt;0,TRIM(D56&amp;"")&lt;&gt;"—",LEN(TRIM(E56&amp;""))&gt;0,TRIM(E56&amp;"")&lt;&gt;"—",LEN(TRIM(F56&amp;""))&gt;0,TRIM(F56&amp;"")&lt;&gt;"—",LEN(TRIM(G56&amp;""))&gt;0,TRIM(G56&amp;"")&lt;&gt;"—",LEN(TRIM(H56&amp;""))&gt;0,TRIM(H56&amp;"")&lt;&gt;"—",LEN(TRIM(I56&amp;""))&gt;0,TRIM(I56&amp;"")&lt;&gt;"—"),"PASS","⚠ FAIL — "&amp;"a required cell is empty/placeholder or wrong type")</f>
        <v>PASS</v>
      </c>
    </row>
    <row r="57" customFormat="false" ht="28.5" hidden="false" customHeight="true" outlineLevel="0" collapsed="false">
      <c r="A57" s="68" t="s">
        <v>1785</v>
      </c>
      <c r="B57" s="68" t="s">
        <v>1786</v>
      </c>
      <c r="C57" s="68" t="str">
        <f aca="false">'Part names'!$B$65</f>
        <v>Orp Sensor</v>
      </c>
      <c r="D57" s="68" t="s">
        <v>1787</v>
      </c>
      <c r="E57" s="68" t="s">
        <v>1788</v>
      </c>
      <c r="F57" s="68" t="s">
        <v>1783</v>
      </c>
      <c r="G57" s="68" t="s">
        <v>1789</v>
      </c>
      <c r="H57" s="68" t="s">
        <v>1760</v>
      </c>
      <c r="I57" s="68" t="s">
        <v>1676</v>
      </c>
      <c r="J57" s="16" t="str">
        <f aca="false">IF(AND(LEN(TRIM(A57&amp;""))&gt;0,TRIM(A57&amp;"")&lt;&gt;"—",LEN(TRIM(B57&amp;""))&gt;0,TRIM(B57&amp;"")&lt;&gt;"—",LEN(TRIM(C57&amp;""))&gt;0,TRIM(C57&amp;"")&lt;&gt;"—",LEN(TRIM(D57&amp;""))&gt;0,TRIM(D57&amp;"")&lt;&gt;"—",LEN(TRIM(E57&amp;""))&gt;0,TRIM(E57&amp;"")&lt;&gt;"—",LEN(TRIM(F57&amp;""))&gt;0,TRIM(F57&amp;"")&lt;&gt;"—",LEN(TRIM(G57&amp;""))&gt;0,TRIM(G57&amp;"")&lt;&gt;"—",LEN(TRIM(H57&amp;""))&gt;0,TRIM(H57&amp;"")&lt;&gt;"—",LEN(TRIM(I57&amp;""))&gt;0,TRIM(I57&amp;"")&lt;&gt;"—"),"PASS","⚠ FAIL — "&amp;"a required cell is empty/placeholder or wrong type")</f>
        <v>PASS</v>
      </c>
    </row>
    <row r="58" customFormat="false" ht="43.5" hidden="false" customHeight="true" outlineLevel="0" collapsed="false">
      <c r="A58" s="68" t="s">
        <v>1790</v>
      </c>
      <c r="B58" s="68" t="s">
        <v>1791</v>
      </c>
      <c r="C58" s="68" t="str">
        <f aca="false">'Part names'!$B$50</f>
        <v>Level Transmitter</v>
      </c>
      <c r="D58" s="68" t="s">
        <v>1792</v>
      </c>
      <c r="E58" s="68" t="s">
        <v>1793</v>
      </c>
      <c r="F58" s="68" t="s">
        <v>1794</v>
      </c>
      <c r="G58" s="68" t="s">
        <v>1795</v>
      </c>
      <c r="H58" s="68" t="s">
        <v>1760</v>
      </c>
      <c r="I58" s="68" t="s">
        <v>1676</v>
      </c>
      <c r="J58" s="16" t="str">
        <f aca="false">IF(AND(LEN(TRIM(A58&amp;""))&gt;0,TRIM(A58&amp;"")&lt;&gt;"—",LEN(TRIM(B58&amp;""))&gt;0,TRIM(B58&amp;"")&lt;&gt;"—",LEN(TRIM(C58&amp;""))&gt;0,TRIM(C58&amp;"")&lt;&gt;"—",LEN(TRIM(D58&amp;""))&gt;0,TRIM(D58&amp;"")&lt;&gt;"—",LEN(TRIM(E58&amp;""))&gt;0,TRIM(E58&amp;"")&lt;&gt;"—",LEN(TRIM(F58&amp;""))&gt;0,TRIM(F58&amp;"")&lt;&gt;"—",LEN(TRIM(G58&amp;""))&gt;0,TRIM(G58&amp;"")&lt;&gt;"—",LEN(TRIM(H58&amp;""))&gt;0,TRIM(H58&amp;"")&lt;&gt;"—",LEN(TRIM(I58&amp;""))&gt;0,TRIM(I58&amp;"")&lt;&gt;"—"),"PASS","⚠ FAIL — "&amp;"a required cell is empty/placeholder or wrong type")</f>
        <v>PASS</v>
      </c>
    </row>
    <row r="59" customFormat="false" ht="28.5" hidden="false" customHeight="true" outlineLevel="0" collapsed="false">
      <c r="A59" s="68" t="s">
        <v>864</v>
      </c>
      <c r="B59" s="68" t="s">
        <v>1791</v>
      </c>
      <c r="C59" s="68" t="str">
        <f aca="false">'Part names'!$B$50</f>
        <v>Level Transmitter</v>
      </c>
      <c r="D59" s="68" t="s">
        <v>1792</v>
      </c>
      <c r="E59" s="68" t="s">
        <v>1793</v>
      </c>
      <c r="F59" s="68" t="str">
        <f aca="false">'Part names'!$A$81</f>
        <v>Z-101</v>
      </c>
      <c r="G59" s="68" t="s">
        <v>1796</v>
      </c>
      <c r="H59" s="68" t="s">
        <v>1760</v>
      </c>
      <c r="I59" s="68" t="s">
        <v>1676</v>
      </c>
      <c r="J59" s="16" t="str">
        <f aca="false">IF(AND(LEN(TRIM(A59&amp;""))&gt;0,TRIM(A59&amp;"")&lt;&gt;"—",LEN(TRIM(B59&amp;""))&gt;0,TRIM(B59&amp;"")&lt;&gt;"—",LEN(TRIM(C59&amp;""))&gt;0,TRIM(C59&amp;"")&lt;&gt;"—",LEN(TRIM(D59&amp;""))&gt;0,TRIM(D59&amp;"")&lt;&gt;"—",LEN(TRIM(E59&amp;""))&gt;0,TRIM(E59&amp;"")&lt;&gt;"—",LEN(TRIM(F59&amp;""))&gt;0,TRIM(F59&amp;"")&lt;&gt;"—",LEN(TRIM(G59&amp;""))&gt;0,TRIM(G59&amp;"")&lt;&gt;"—",LEN(TRIM(H59&amp;""))&gt;0,TRIM(H59&amp;"")&lt;&gt;"—",LEN(TRIM(I59&amp;""))&gt;0,TRIM(I59&amp;"")&lt;&gt;"—"),"PASS","⚠ FAIL — "&amp;"a required cell is empty/placeholder or wrong type")</f>
        <v>PASS</v>
      </c>
    </row>
    <row r="60" customFormat="false" ht="43.5" hidden="false" customHeight="true" outlineLevel="0" collapsed="false">
      <c r="A60" s="68" t="s">
        <v>1797</v>
      </c>
      <c r="B60" s="68" t="s">
        <v>1791</v>
      </c>
      <c r="C60" s="68" t="str">
        <f aca="false">'Part names'!$B$50</f>
        <v>Level Transmitter</v>
      </c>
      <c r="D60" s="68" t="s">
        <v>1792</v>
      </c>
      <c r="E60" s="68" t="s">
        <v>1793</v>
      </c>
      <c r="F60" s="68" t="s">
        <v>1798</v>
      </c>
      <c r="G60" s="68" t="s">
        <v>1799</v>
      </c>
      <c r="H60" s="68" t="s">
        <v>1760</v>
      </c>
      <c r="I60" s="68" t="s">
        <v>1676</v>
      </c>
      <c r="J60" s="16" t="str">
        <f aca="false">IF(AND(LEN(TRIM(A60&amp;""))&gt;0,TRIM(A60&amp;"")&lt;&gt;"—",LEN(TRIM(B60&amp;""))&gt;0,TRIM(B60&amp;"")&lt;&gt;"—",LEN(TRIM(C60&amp;""))&gt;0,TRIM(C60&amp;"")&lt;&gt;"—",LEN(TRIM(D60&amp;""))&gt;0,TRIM(D60&amp;"")&lt;&gt;"—",LEN(TRIM(E60&amp;""))&gt;0,TRIM(E60&amp;"")&lt;&gt;"—",LEN(TRIM(F60&amp;""))&gt;0,TRIM(F60&amp;"")&lt;&gt;"—",LEN(TRIM(G60&amp;""))&gt;0,TRIM(G60&amp;"")&lt;&gt;"—",LEN(TRIM(H60&amp;""))&gt;0,TRIM(H60&amp;"")&lt;&gt;"—",LEN(TRIM(I60&amp;""))&gt;0,TRIM(I60&amp;"")&lt;&gt;"—"),"PASS","⚠ FAIL — "&amp;"a required cell is empty/placeholder or wrong type")</f>
        <v>PASS</v>
      </c>
    </row>
    <row r="61" customFormat="false" ht="28.5" hidden="false" customHeight="true" outlineLevel="0" collapsed="false">
      <c r="A61" s="68" t="str">
        <f aca="false">'Part names'!$A$70</f>
        <v>AT-201</v>
      </c>
      <c r="B61" s="68" t="s">
        <v>1780</v>
      </c>
      <c r="C61" s="68" t="str">
        <f aca="false">'Part names'!$B$70</f>
        <v>pH Analyser</v>
      </c>
      <c r="D61" s="68" t="s">
        <v>1781</v>
      </c>
      <c r="E61" s="68" t="s">
        <v>1800</v>
      </c>
      <c r="F61" s="68" t="str">
        <f aca="false">'Part names'!$A$25</f>
        <v>TK-114</v>
      </c>
      <c r="G61" s="68" t="s">
        <v>1784</v>
      </c>
      <c r="H61" s="68" t="s">
        <v>1760</v>
      </c>
      <c r="I61" s="68" t="s">
        <v>1676</v>
      </c>
      <c r="J61" s="16" t="str">
        <f aca="false">IF(AND(LEN(TRIM(A61&amp;""))&gt;0,TRIM(A61&amp;"")&lt;&gt;"—",LEN(TRIM(B61&amp;""))&gt;0,TRIM(B61&amp;"")&lt;&gt;"—",LEN(TRIM(C61&amp;""))&gt;0,TRIM(C61&amp;"")&lt;&gt;"—",LEN(TRIM(D61&amp;""))&gt;0,TRIM(D61&amp;"")&lt;&gt;"—",LEN(TRIM(E61&amp;""))&gt;0,TRIM(E61&amp;"")&lt;&gt;"—",LEN(TRIM(F61&amp;""))&gt;0,TRIM(F61&amp;"")&lt;&gt;"—",LEN(TRIM(G61&amp;""))&gt;0,TRIM(G61&amp;"")&lt;&gt;"—",LEN(TRIM(H61&amp;""))&gt;0,TRIM(H61&amp;"")&lt;&gt;"—",LEN(TRIM(I61&amp;""))&gt;0,TRIM(I61&amp;"")&lt;&gt;"—"),"PASS","⚠ FAIL — "&amp;"a required cell is empty/placeholder or wrong type")</f>
        <v>PASS</v>
      </c>
    </row>
    <row r="62" customFormat="false" ht="28.5" hidden="false" customHeight="true" outlineLevel="0" collapsed="false">
      <c r="A62" s="68" t="s">
        <v>1801</v>
      </c>
      <c r="B62" s="68" t="s">
        <v>1755</v>
      </c>
      <c r="C62" s="68" t="str">
        <f aca="false">'Part names'!$B$79</f>
        <v>Pressure Transmitter</v>
      </c>
      <c r="D62" s="68" t="s">
        <v>1757</v>
      </c>
      <c r="E62" s="68" t="s">
        <v>1802</v>
      </c>
      <c r="F62" s="68" t="s">
        <v>1803</v>
      </c>
      <c r="G62" s="68" t="s">
        <v>1804</v>
      </c>
      <c r="H62" s="68" t="s">
        <v>1760</v>
      </c>
      <c r="I62" s="68" t="s">
        <v>1676</v>
      </c>
      <c r="J62" s="16" t="str">
        <f aca="false">IF(AND(LEN(TRIM(A62&amp;""))&gt;0,TRIM(A62&amp;"")&lt;&gt;"—",LEN(TRIM(B62&amp;""))&gt;0,TRIM(B62&amp;"")&lt;&gt;"—",LEN(TRIM(C62&amp;""))&gt;0,TRIM(C62&amp;"")&lt;&gt;"—",LEN(TRIM(D62&amp;""))&gt;0,TRIM(D62&amp;"")&lt;&gt;"—",LEN(TRIM(E62&amp;""))&gt;0,TRIM(E62&amp;"")&lt;&gt;"—",LEN(TRIM(F62&amp;""))&gt;0,TRIM(F62&amp;"")&lt;&gt;"—",LEN(TRIM(G62&amp;""))&gt;0,TRIM(G62&amp;"")&lt;&gt;"—",LEN(TRIM(H62&amp;""))&gt;0,TRIM(H62&amp;"")&lt;&gt;"—",LEN(TRIM(I62&amp;""))&gt;0,TRIM(I62&amp;"")&lt;&gt;"—"),"PASS","⚠ FAIL — "&amp;"a required cell is empty/placeholder or wrong type")</f>
        <v>PASS</v>
      </c>
    </row>
    <row r="63" customFormat="false" ht="28.5" hidden="false" customHeight="true" outlineLevel="0" collapsed="false">
      <c r="A63" s="68" t="s">
        <v>1805</v>
      </c>
      <c r="B63" s="68" t="s">
        <v>1806</v>
      </c>
      <c r="C63" s="68" t="str">
        <f aca="false">'Part names'!$B$86</f>
        <v>Silica Analyzer</v>
      </c>
      <c r="D63" s="68" t="s">
        <v>1807</v>
      </c>
      <c r="E63" s="68" t="s">
        <v>1808</v>
      </c>
      <c r="F63" s="68" t="s">
        <v>1783</v>
      </c>
      <c r="G63" s="68" t="s">
        <v>480</v>
      </c>
      <c r="H63" s="68" t="s">
        <v>1760</v>
      </c>
      <c r="I63" s="68" t="s">
        <v>1676</v>
      </c>
      <c r="J63" s="72" t="str">
        <f aca="false">IF(AND(LEN(TRIM(A63&amp;""))&gt;0,TRIM(A63&amp;"")&lt;&gt;"—",LEN(TRIM(B63&amp;""))&gt;0,TRIM(B63&amp;"")&lt;&gt;"—",LEN(TRIM(C63&amp;""))&gt;0,TRIM(C63&amp;"")&lt;&gt;"—",LEN(TRIM(D63&amp;""))&gt;0,TRIM(D63&amp;"")&lt;&gt;"—",LEN(TRIM(E63&amp;""))&gt;0,TRIM(E63&amp;"")&lt;&gt;"—",LEN(TRIM(F63&amp;""))&gt;0,TRIM(F63&amp;"")&lt;&gt;"—",LEN(TRIM(G63&amp;""))&gt;0,TRIM(G63&amp;"")&lt;&gt;"—",TRIM(G63&amp;"")&lt;&gt;"—",LEN(TRIM(H63&amp;""))&gt;0,TRIM(H63&amp;"")&lt;&gt;"—",LEN(TRIM(I63&amp;""))&gt;0,TRIM(I63&amp;"")&lt;&gt;"—"),"PASS","⚠ FAIL — "&amp;"'Range' placeholder '—'")</f>
        <v>⚠ FAIL — 'Range' placeholder '—'</v>
      </c>
    </row>
    <row r="64" customFormat="false" ht="28.5" hidden="false" customHeight="true" outlineLevel="0" collapsed="false">
      <c r="A64" s="68" t="s">
        <v>1809</v>
      </c>
      <c r="B64" s="68" t="s">
        <v>1775</v>
      </c>
      <c r="C64" s="68" t="str">
        <f aca="false">'Part names'!$B$35</f>
        <v>Flow Meter</v>
      </c>
      <c r="D64" s="68" t="s">
        <v>1776</v>
      </c>
      <c r="E64" s="68" t="s">
        <v>1777</v>
      </c>
      <c r="F64" s="68" t="s">
        <v>1778</v>
      </c>
      <c r="G64" s="68" t="s">
        <v>480</v>
      </c>
      <c r="H64" s="68" t="s">
        <v>1760</v>
      </c>
      <c r="I64" s="68" t="s">
        <v>1676</v>
      </c>
      <c r="J64" s="72" t="str">
        <f aca="false">IF(AND(LEN(TRIM(A64&amp;""))&gt;0,TRIM(A64&amp;"")&lt;&gt;"—",LEN(TRIM(B64&amp;""))&gt;0,TRIM(B64&amp;"")&lt;&gt;"—",LEN(TRIM(C64&amp;""))&gt;0,TRIM(C64&amp;"")&lt;&gt;"—",LEN(TRIM(D64&amp;""))&gt;0,TRIM(D64&amp;"")&lt;&gt;"—",LEN(TRIM(E64&amp;""))&gt;0,TRIM(E64&amp;"")&lt;&gt;"—",LEN(TRIM(F64&amp;""))&gt;0,TRIM(F64&amp;"")&lt;&gt;"—",LEN(TRIM(G64&amp;""))&gt;0,TRIM(G64&amp;"")&lt;&gt;"—",TRIM(G64&amp;"")&lt;&gt;"—",LEN(TRIM(H64&amp;""))&gt;0,TRIM(H64&amp;"")&lt;&gt;"—",LEN(TRIM(I64&amp;""))&gt;0,TRIM(I64&amp;"")&lt;&gt;"—"),"PASS","⚠ FAIL — "&amp;"'Range' placeholder '—'")</f>
        <v>⚠ FAIL — 'Range' placeholder '—'</v>
      </c>
    </row>
    <row r="65" customFormat="false" ht="28.5" hidden="false" customHeight="true" outlineLevel="0" collapsed="false">
      <c r="A65" s="68" t="s">
        <v>1810</v>
      </c>
      <c r="B65" s="68" t="s">
        <v>1755</v>
      </c>
      <c r="C65" s="68" t="s">
        <v>1756</v>
      </c>
      <c r="D65" s="68" t="s">
        <v>1757</v>
      </c>
      <c r="E65" s="68" t="s">
        <v>1758</v>
      </c>
      <c r="F65" s="68" t="s">
        <v>1759</v>
      </c>
      <c r="G65" s="68" t="s">
        <v>480</v>
      </c>
      <c r="H65" s="68" t="s">
        <v>1760</v>
      </c>
      <c r="I65" s="68" t="s">
        <v>1676</v>
      </c>
      <c r="J65" s="72" t="str">
        <f aca="false">IF(AND(LEN(TRIM(A65&amp;""))&gt;0,TRIM(A65&amp;"")&lt;&gt;"—",LEN(TRIM(B65&amp;""))&gt;0,TRIM(B65&amp;"")&lt;&gt;"—",LEN(TRIM(C65&amp;""))&gt;0,TRIM(C65&amp;"")&lt;&gt;"—",LEN(TRIM(D65&amp;""))&gt;0,TRIM(D65&amp;"")&lt;&gt;"—",LEN(TRIM(E65&amp;""))&gt;0,TRIM(E65&amp;"")&lt;&gt;"—",LEN(TRIM(F65&amp;""))&gt;0,TRIM(F65&amp;"")&lt;&gt;"—",LEN(TRIM(G65&amp;""))&gt;0,TRIM(G65&amp;"")&lt;&gt;"—",TRIM(G65&amp;"")&lt;&gt;"—",LEN(TRIM(H65&amp;""))&gt;0,TRIM(H65&amp;"")&lt;&gt;"—",LEN(TRIM(I65&amp;""))&gt;0,TRIM(I65&amp;"")&lt;&gt;"—"),"PASS","⚠ FAIL — "&amp;"'Range' placeholder '—'")</f>
        <v>⚠ FAIL — 'Range' placeholder '—'</v>
      </c>
    </row>
  </sheetData>
  <autoFilter ref="A43:I65"/>
  <mergeCells count="7">
    <mergeCell ref="A1:I1"/>
    <mergeCell ref="A2:I2"/>
    <mergeCell ref="A3:I3"/>
    <mergeCell ref="A4:I4"/>
    <mergeCell ref="B5:I5"/>
    <mergeCell ref="A7:H7"/>
    <mergeCell ref="A42:I42"/>
  </mergeCells>
  <hyperlinks>
    <hyperlink ref="J1" location="'Contents'!A1" display="↑ Contents"/>
    <hyperlink ref="A5" location="'Line &amp; velocity'!A1" display="→ Line &amp; velocity"/>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G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7" min="7" style="0" width="13"/>
  </cols>
  <sheetData>
    <row r="1" customFormat="false" ht="25.5" hidden="false" customHeight="true" outlineLevel="0" collapsed="false">
      <c r="A1" s="1" t="s">
        <v>106</v>
      </c>
      <c r="B1" s="1"/>
      <c r="C1" s="1"/>
      <c r="D1" s="1"/>
      <c r="E1" s="1"/>
      <c r="F1" s="1"/>
      <c r="G1" s="24" t="s">
        <v>140</v>
      </c>
    </row>
    <row r="2" customFormat="false" ht="30" hidden="false" customHeight="true" outlineLevel="0" collapsed="false">
      <c r="A2" s="2" t="str">
        <f aca="false">"⬤ TAB QUALITY "&amp;IF(ISNUMBER('Quality &amp; Audit'!$B$47),IF('Quality &amp; Audit'!$B$47=INT('Quality &amp; Audit'!$B$47),TEXT('Quality &amp; Audit'!$B$47,"0"),TEXT('Quality &amp; Audit'!$B$47,"0.0")),"—")&amp;"/10 · "&amp;IF(ISNUMBER('Quality &amp; Audit'!$B$47),IF('Quality &amp; Audit'!$B$47&gt;=8,"PASS","FAIL"),"UNSCORED")&amp;" (target ≥8, live from the Quality &amp; Audit score cell)"&amp;" · GA mechanism: parts-ledger coverage × default-size litter × layout-divergence × typed-shape checks — drawing part coverage (general-arrangement) 29/30 · score = min over…"&amp;" · full audit: Quality &amp; Audit tab"</f>
        <v>⬤ TAB QUALITY 9.7/10 · PASS (target ≥8, live from the Quality &amp; Audit score cell) · GA mechanism: parts-ledger coverage × default-size litter × layout-divergence × typed-shape checks — drawing part coverage (general-arrangement) 29/30 · score = min over… · full audit: Quality &amp; Audit tab</v>
      </c>
      <c r="B2" s="2"/>
      <c r="C2" s="2"/>
      <c r="D2" s="2"/>
      <c r="E2" s="2"/>
      <c r="F2" s="2"/>
    </row>
    <row r="3" customFormat="false" ht="27.75" hidden="false" customHeight="true" outlineLevel="0" collapsed="false">
      <c r="A3" s="3" t="s">
        <v>1811</v>
      </c>
      <c r="B3" s="3"/>
      <c r="C3" s="3"/>
      <c r="D3" s="3"/>
      <c r="E3" s="3"/>
      <c r="F3" s="3"/>
    </row>
    <row r="5" customFormat="false" ht="30" hidden="false" customHeight="true" outlineLevel="0" collapsed="false">
      <c r="A5" s="87" t="s">
        <v>1812</v>
      </c>
      <c r="B5" s="87"/>
      <c r="C5" s="87"/>
      <c r="D5" s="87"/>
      <c r="E5" s="87"/>
      <c r="F5" s="87"/>
    </row>
  </sheetData>
  <mergeCells count="4">
    <mergeCell ref="A1:F1"/>
    <mergeCell ref="A2:F2"/>
    <mergeCell ref="A3:F3"/>
    <mergeCell ref="A5:F5"/>
  </mergeCells>
  <hyperlinks>
    <hyperlink ref="G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G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7" min="7" style="0" width="13"/>
  </cols>
  <sheetData>
    <row r="1" customFormat="false" ht="25.5" hidden="false" customHeight="true" outlineLevel="0" collapsed="false">
      <c r="A1" s="1" t="s">
        <v>108</v>
      </c>
      <c r="B1" s="1"/>
      <c r="C1" s="1"/>
      <c r="D1" s="1"/>
      <c r="E1" s="1"/>
      <c r="F1" s="1"/>
      <c r="G1" s="24" t="s">
        <v>140</v>
      </c>
    </row>
    <row r="2" customFormat="false" ht="30" hidden="false" customHeight="true" outlineLevel="0" collapsed="false">
      <c r="A2" s="2" t="str">
        <f aca="false">"⬤ TAB QUALITY "&amp;IF(ISNUMBER('Quality &amp; Audit'!$B$50),IF('Quality &amp; Audit'!$B$50=INT('Quality &amp; Audit'!$B$50),TEXT('Quality &amp; Audit'!$B$50,"0"),TEXT('Quality &amp; Audit'!$B$50,"0.0")),"—")&amp;"/10 · "&amp;IF(ISNUMBER('Quality &amp; Audit'!$B$50),IF('Quality &amp; Audit'!$B$50&gt;=8,"PASS","FAIL"),"UNSCORED")&amp;" (target ≥8, live from the Quality &amp; Audit score cell)"&amp;" · HVAC duty-scoped check: contract duty signal → drawing coverage; no duty → honest out-of-scope disclosure (capped 8)"&amp;" · full audit: Quality &amp; Audit tab"</f>
        <v>⬤ TAB QUALITY 8/10 · PASS (target ≥8, live from the Quality &amp; Audit score cell) · HVAC duty-scoped check: contract duty signal → drawing coverage; no duty → honest out-of-scope disclosure (capped 8) · full audit: Quality &amp; Audit tab</v>
      </c>
      <c r="B2" s="2"/>
      <c r="C2" s="2"/>
      <c r="D2" s="2"/>
      <c r="E2" s="2"/>
      <c r="F2" s="2"/>
    </row>
    <row r="3" customFormat="false" ht="27.75" hidden="false" customHeight="true" outlineLevel="0" collapsed="false">
      <c r="A3" s="3" t="s">
        <v>1813</v>
      </c>
      <c r="B3" s="3"/>
      <c r="C3" s="3"/>
      <c r="D3" s="3"/>
      <c r="E3" s="3"/>
      <c r="F3" s="3"/>
    </row>
    <row r="5" customFormat="false" ht="30" hidden="false" customHeight="true" outlineLevel="0" collapsed="false">
      <c r="A5" s="87" t="s">
        <v>1814</v>
      </c>
      <c r="B5" s="87"/>
      <c r="C5" s="87"/>
      <c r="D5" s="87"/>
      <c r="E5" s="87"/>
      <c r="F5" s="87"/>
    </row>
  </sheetData>
  <mergeCells count="4">
    <mergeCell ref="A1:F1"/>
    <mergeCell ref="A2:F2"/>
    <mergeCell ref="A3:F3"/>
    <mergeCell ref="A5:F5"/>
  </mergeCells>
  <hyperlinks>
    <hyperlink ref="G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Q10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14"/>
    <col collapsed="false" customWidth="true" hidden="false" outlineLevel="0" max="2" min="2" style="0" width="40"/>
    <col collapsed="false" customWidth="true" hidden="false" outlineLevel="0" max="3" min="3" style="0" width="8"/>
    <col collapsed="false" customWidth="true" hidden="false" outlineLevel="0" max="4" min="4" style="0" width="18"/>
    <col collapsed="false" customWidth="true" hidden="false" outlineLevel="0" max="5" min="5" style="0" width="12"/>
    <col collapsed="false" customWidth="true" hidden="false" outlineLevel="0" max="7" min="6" style="0" width="22"/>
    <col collapsed="false" customWidth="true" hidden="false" outlineLevel="0" max="8" min="8" style="0" width="12"/>
    <col collapsed="false" customWidth="true" hidden="false" outlineLevel="0" max="9" min="9" style="0" width="10"/>
    <col collapsed="false" customWidth="true" hidden="false" outlineLevel="0" max="10" min="10" style="0" width="8"/>
    <col collapsed="false" customWidth="true" hidden="false" outlineLevel="0" max="11" min="11" style="0" width="52"/>
    <col collapsed="false" customWidth="true" hidden="false" outlineLevel="0" max="12" min="12" style="0" width="13"/>
  </cols>
  <sheetData>
    <row r="1" customFormat="false" ht="25.5" hidden="false" customHeight="true" outlineLevel="0" collapsed="false">
      <c r="A1" s="1" t="s">
        <v>1815</v>
      </c>
      <c r="B1" s="1"/>
      <c r="C1" s="1"/>
      <c r="D1" s="1"/>
      <c r="E1" s="1"/>
      <c r="F1" s="1"/>
      <c r="G1" s="1"/>
      <c r="H1" s="1"/>
      <c r="I1" s="1"/>
      <c r="J1" s="1"/>
      <c r="K1" s="1"/>
      <c r="L1" s="24" t="s">
        <v>140</v>
      </c>
    </row>
    <row r="2" customFormat="false" ht="30" hidden="false" customHeight="true" outlineLevel="0" collapsed="false">
      <c r="A2" s="2" t="str">
        <f aca="false">"⬤ TAB QUALITY "&amp;IF(ISNUMBER('Quality &amp; Audit'!$B$41),IF('Quality &amp; Audit'!$B$41=INT('Quality &amp; Audit'!$B$41),TEXT('Quality &amp; Audit'!$B$41,"0"),TEXT('Quality &amp; Audit'!$B$41,"0.0")),"—")&amp;"/10 · "&amp;IF(ISNUMBER('Quality &amp; Audit'!$B$41),IF('Quality &amp; Audit'!$B$41&gt;=8,"PASS","FAIL"),"UNSCORED")&amp;" (target ≥8, live from the Quality &amp; Audit score cell)"&amp;" · column-contract arithmetic: 10 × 22/23 rows passing; content checks: panel-schedule column contract + single-line drawing coverage — cell completeness+type contract 187/…"&amp;" · full audit: Quality &amp; Audit tab"</f>
        <v>⬤ TAB QUALITY 9.6/10 · PASS (target ≥8, live from the Quality &amp; Audit score cell) · column-contract arithmetic: 10 × 22/23 rows passing; content checks: panel-schedule column contract + single-line drawing coverage — cell completeness+type contract 187/… · full audit: Quality &amp; Audit tab</v>
      </c>
      <c r="B2" s="2"/>
      <c r="C2" s="2"/>
      <c r="D2" s="2"/>
      <c r="E2" s="2"/>
      <c r="F2" s="2"/>
      <c r="G2" s="2"/>
      <c r="H2" s="2"/>
      <c r="I2" s="2"/>
      <c r="J2" s="2"/>
      <c r="K2" s="2"/>
    </row>
    <row r="3" customFormat="false" ht="66.75" hidden="false" customHeight="true" outlineLevel="0" collapsed="false">
      <c r="A3" s="3" t="s">
        <v>1816</v>
      </c>
      <c r="B3" s="3"/>
      <c r="C3" s="3"/>
      <c r="D3" s="3"/>
      <c r="E3" s="3"/>
      <c r="F3" s="3"/>
      <c r="G3" s="3"/>
      <c r="H3" s="3"/>
      <c r="I3" s="3"/>
      <c r="J3" s="3"/>
      <c r="K3" s="3"/>
    </row>
    <row r="5" customFormat="false" ht="30" hidden="false" customHeight="true" outlineLevel="0" collapsed="false">
      <c r="A5" s="87" t="s">
        <v>1817</v>
      </c>
      <c r="B5" s="87"/>
      <c r="C5" s="87"/>
      <c r="D5" s="87"/>
      <c r="E5" s="87"/>
      <c r="F5" s="87"/>
      <c r="G5" s="87"/>
      <c r="H5" s="87"/>
      <c r="I5" s="87"/>
      <c r="J5" s="87"/>
      <c r="K5" s="87"/>
    </row>
    <row r="44" customFormat="false" ht="42" hidden="false" customHeight="true" outlineLevel="0" collapsed="false">
      <c r="A44" s="6" t="s">
        <v>1818</v>
      </c>
      <c r="B44" s="6"/>
      <c r="C44" s="6"/>
      <c r="D44" s="6"/>
      <c r="E44" s="6"/>
      <c r="F44" s="6"/>
      <c r="G44" s="6"/>
      <c r="H44" s="6"/>
      <c r="I44" s="6"/>
      <c r="J44" s="6"/>
      <c r="K44" s="6"/>
    </row>
    <row r="46" customFormat="false" ht="28.5" hidden="false" customHeight="true" outlineLevel="0" collapsed="false">
      <c r="A46" s="53" t="s">
        <v>1819</v>
      </c>
      <c r="B46" s="53"/>
      <c r="C46" s="53"/>
      <c r="D46" s="53"/>
      <c r="E46" s="53"/>
      <c r="F46" s="53"/>
      <c r="G46" s="53"/>
      <c r="H46" s="53"/>
      <c r="I46" s="53"/>
      <c r="J46" s="53"/>
      <c r="K46" s="53"/>
    </row>
    <row r="47" customFormat="false" ht="57.75" hidden="false" customHeight="true" outlineLevel="0" collapsed="false">
      <c r="A47" s="53" t="s">
        <v>1820</v>
      </c>
      <c r="B47" s="53"/>
      <c r="C47" s="53"/>
      <c r="D47" s="53"/>
      <c r="E47" s="53"/>
      <c r="F47" s="53"/>
      <c r="G47" s="53"/>
      <c r="H47" s="53"/>
      <c r="I47" s="53"/>
      <c r="J47" s="53"/>
      <c r="K47" s="53"/>
    </row>
    <row r="49" customFormat="false" ht="15" hidden="false" customHeight="false" outlineLevel="0" collapsed="false">
      <c r="A49" s="8" t="s">
        <v>1821</v>
      </c>
      <c r="B49" s="8"/>
    </row>
    <row r="50" customFormat="false" ht="15" hidden="false" customHeight="false" outlineLevel="0" collapsed="false">
      <c r="A50" s="9" t="s">
        <v>1822</v>
      </c>
      <c r="B50" s="9" t="s">
        <v>160</v>
      </c>
      <c r="C50" s="10" t="s">
        <v>20</v>
      </c>
    </row>
    <row r="51" customFormat="false" ht="28.5" hidden="false" customHeight="true" outlineLevel="0" collapsed="false">
      <c r="A51" s="68" t="s">
        <v>1823</v>
      </c>
      <c r="B51" s="68" t="str">
        <f aca="false">'Part names'!$B$61</f>
        <v>Motor Control Center</v>
      </c>
      <c r="C51" s="16" t="str">
        <f aca="false">IF(AND(LEN(TRIM(A51&amp;""))&gt;0,TRIM(A51&amp;"")&lt;&gt;"—",LEN(TRIM(B51&amp;""))&gt;0,TRIM(B51&amp;"")&lt;&gt;"—"),"PASS","⚠ FAIL — "&amp;"a required cell is empty/placeholder or wrong type")</f>
        <v>PASS</v>
      </c>
    </row>
    <row r="52" customFormat="false" ht="15" hidden="false" customHeight="false" outlineLevel="0" collapsed="false">
      <c r="A52" s="68" t="s">
        <v>1824</v>
      </c>
      <c r="B52" s="68" t="s">
        <v>1825</v>
      </c>
      <c r="C52" s="16" t="str">
        <f aca="false">IF(AND(LEN(TRIM(A52&amp;""))&gt;0,TRIM(A52&amp;"")&lt;&gt;"—",LEN(TRIM(B52&amp;""))&gt;0,TRIM(B52&amp;"")&lt;&gt;"—"),"PASS","⚠ FAIL — "&amp;"a required cell is empty/placeholder or wrong type")</f>
        <v>PASS</v>
      </c>
    </row>
    <row r="53" customFormat="false" ht="28.5" hidden="false" customHeight="true" outlineLevel="0" collapsed="false">
      <c r="A53" s="68" t="s">
        <v>1826</v>
      </c>
      <c r="B53" s="68" t="s">
        <v>1827</v>
      </c>
      <c r="C53" s="16" t="str">
        <f aca="false">IF(AND(LEN(TRIM(A53&amp;""))&gt;0,TRIM(A53&amp;"")&lt;&gt;"—",LEN(TRIM(B53&amp;""))&gt;0,TRIM(B53&amp;"")&lt;&gt;"—"),"PASS","⚠ FAIL — "&amp;"a required cell is empty/placeholder or wrong type")</f>
        <v>PASS</v>
      </c>
    </row>
    <row r="54" customFormat="false" ht="15" hidden="false" customHeight="false" outlineLevel="0" collapsed="false">
      <c r="A54" s="68" t="s">
        <v>1828</v>
      </c>
      <c r="B54" s="68" t="s">
        <v>1829</v>
      </c>
      <c r="C54" s="16" t="str">
        <f aca="false">IF(AND(LEN(TRIM(A54&amp;""))&gt;0,TRIM(A54&amp;"")&lt;&gt;"—",LEN(TRIM(B54&amp;""))&gt;0,TRIM(B54&amp;"")&lt;&gt;"—"),"PASS","⚠ FAIL — "&amp;"a required cell is empty/placeholder or wrong type")</f>
        <v>PASS</v>
      </c>
    </row>
    <row r="55" customFormat="false" ht="15" hidden="false" customHeight="false" outlineLevel="0" collapsed="false">
      <c r="A55" s="68" t="s">
        <v>1830</v>
      </c>
      <c r="B55" s="68" t="s">
        <v>1831</v>
      </c>
      <c r="C55" s="16" t="str">
        <f aca="false">IF(AND(LEN(TRIM(A55&amp;""))&gt;0,TRIM(A55&amp;"")&lt;&gt;"—",LEN(TRIM(B55&amp;""))&gt;0,TRIM(B55&amp;"")&lt;&gt;"—"),"PASS","⚠ FAIL — "&amp;"a required cell is empty/placeholder or wrong type")</f>
        <v>PASS</v>
      </c>
    </row>
    <row r="56" customFormat="false" ht="28.5" hidden="false" customHeight="true" outlineLevel="0" collapsed="false">
      <c r="A56" s="68" t="s">
        <v>1832</v>
      </c>
      <c r="B56" s="68" t="s">
        <v>1833</v>
      </c>
      <c r="C56" s="16" t="str">
        <f aca="false">IF(AND(LEN(TRIM(A56&amp;""))&gt;0,TRIM(A56&amp;"")&lt;&gt;"—",LEN(TRIM(B56&amp;""))&gt;0,TRIM(B56&amp;"")&lt;&gt;"—"),"PASS","⚠ FAIL — "&amp;"a required cell is empty/placeholder or wrong type")</f>
        <v>PASS</v>
      </c>
    </row>
    <row r="57" customFormat="false" ht="28.5" hidden="false" customHeight="true" outlineLevel="0" collapsed="false">
      <c r="A57" s="68" t="s">
        <v>1834</v>
      </c>
      <c r="B57" s="68" t="s">
        <v>1835</v>
      </c>
    </row>
    <row r="58" customFormat="false" ht="28.5" hidden="false" customHeight="true" outlineLevel="0" collapsed="false">
      <c r="A58" s="68" t="s">
        <v>1836</v>
      </c>
      <c r="B58" s="68" t="s">
        <v>1837</v>
      </c>
      <c r="C58" s="16" t="str">
        <f aca="false">IF(AND(LEN(TRIM(A58&amp;""))&gt;0,TRIM(A58&amp;"")&lt;&gt;"—",LEN(TRIM(B58&amp;""))&gt;0,TRIM(B58&amp;"")&lt;&gt;"—"),"PASS","⚠ FAIL — "&amp;"a required cell is empty/placeholder or wrong type")</f>
        <v>PASS</v>
      </c>
    </row>
    <row r="60" customFormat="false" ht="15" hidden="false" customHeight="false" outlineLevel="0" collapsed="false">
      <c r="A60" s="8" t="s">
        <v>1821</v>
      </c>
      <c r="B60" s="8"/>
      <c r="C60" s="8"/>
      <c r="D60" s="8"/>
      <c r="E60" s="8"/>
      <c r="F60" s="8"/>
      <c r="G60" s="8"/>
      <c r="H60" s="8"/>
      <c r="I60" s="8"/>
      <c r="J60" s="8"/>
    </row>
    <row r="61" customFormat="false" ht="15" hidden="false" customHeight="false" outlineLevel="0" collapsed="false">
      <c r="A61" s="9" t="s">
        <v>1838</v>
      </c>
      <c r="B61" s="9" t="s">
        <v>1839</v>
      </c>
      <c r="C61" s="9" t="s">
        <v>1840</v>
      </c>
      <c r="D61" s="9" t="s">
        <v>1841</v>
      </c>
      <c r="E61" s="9" t="s">
        <v>1842</v>
      </c>
      <c r="F61" s="9" t="s">
        <v>1843</v>
      </c>
      <c r="G61" s="9" t="s">
        <v>1844</v>
      </c>
      <c r="H61" s="9" t="s">
        <v>1845</v>
      </c>
      <c r="I61" s="9" t="s">
        <v>1846</v>
      </c>
      <c r="J61" s="9" t="s">
        <v>1847</v>
      </c>
      <c r="K61" s="89" t="s">
        <v>419</v>
      </c>
      <c r="L61" s="90" t="s">
        <v>1848</v>
      </c>
      <c r="M61" s="90" t="s">
        <v>1849</v>
      </c>
      <c r="N61" s="90" t="s">
        <v>420</v>
      </c>
      <c r="O61" s="90" t="s">
        <v>1850</v>
      </c>
      <c r="P61" s="90" t="s">
        <v>1851</v>
      </c>
      <c r="Q61" s="10" t="s">
        <v>20</v>
      </c>
    </row>
    <row r="62" customFormat="false" ht="15" hidden="false" customHeight="false" outlineLevel="0" collapsed="false">
      <c r="A62" s="68" t="s">
        <v>1852</v>
      </c>
      <c r="B62" s="68" t="str">
        <f aca="false">'Part names'!$B$6</f>
        <v>3 Phase Power Input</v>
      </c>
      <c r="C62" s="68" t="n">
        <v>1</v>
      </c>
      <c r="D62" s="68" t="n">
        <v>0.6</v>
      </c>
      <c r="E62" s="68" t="n">
        <v>1.1</v>
      </c>
      <c r="F62" s="68" t="s">
        <v>1853</v>
      </c>
      <c r="G62" s="68" t="s">
        <v>1854</v>
      </c>
      <c r="H62" s="68" t="n">
        <v>5.7</v>
      </c>
      <c r="I62" s="68" t="n">
        <v>0.041</v>
      </c>
      <c r="J62" s="69" t="str">
        <f aca="false">IF(ISNUMBER(I62),IF(I62&lt;='Audit data'!$D$12,"✓","✗"),"✗")</f>
        <v>✓</v>
      </c>
      <c r="K62" s="69" t="str">
        <f aca="false">IF(AND(LEN(TRIM($A62&amp;""))&gt;0,LEN(TRIM(D62&amp;""))&gt;0,ISNUMBER(D62),D62&gt;0,ISNUMBER(E62),E62&gt;0,IF(AND(ISNUMBER(D62),ISNUMBER(E62),E62&gt;0),AND((D62*1000)/('Audit data'!$D$14*'Audit data'!$D$13*E62)&gt;=0.6,(D62*1000)/('Audit data'!$D$14*'Audit data'!$D$13*E62)&lt;=1.05),FALSE()),IF(AND(ISNUMBER(L62),ISNUMBER(E62)),L62&gt;=E62,FALSE()),ISNUMBER(SEARCH("mm",G62&amp;"")),IF(AND(ISNUMBER(M62),ISNUMBER(L62)),L62&lt;=M62,TRUE()),ISNUMBER(H62),H62&gt;0,J62="✓",LEN(TRIM(N62&amp;""))=0),"PASS","FAIL — "&amp;IF(LEN(TRIM(N62&amp;""))&gt;0,TRIM(N62&amp;""),"a circuit cell is missing/non-numeric, I inconsistent with kW at the board voltage, device/cable rating out of order, o…"))</f>
        <v>PASS</v>
      </c>
      <c r="L62" s="84" t="n">
        <v>6</v>
      </c>
      <c r="M62" s="84" t="n">
        <v>20</v>
      </c>
      <c r="N62" s="70"/>
      <c r="Q62" s="16" t="str">
        <f aca="false">IF(AND(LEN(TRIM(A62&amp;""))&gt;0,TRIM(A62&amp;"")&lt;&gt;"—",LEN(TRIM(B62&amp;""))&gt;0,TRIM(B62&amp;"")&lt;&gt;"—",LEN(TRIM(D62&amp;""))&gt;0,TRIM(D62&amp;"")&lt;&gt;"—",ISNUMBER(D62),LEN(TRIM(E62&amp;""))&gt;0,TRIM(E62&amp;"")&lt;&gt;"—",ISNUMBER(E62),LEN(TRIM(F62&amp;""))&gt;0,TRIM(F62&amp;"")&lt;&gt;"—",LEN(TRIM(G62&amp;""))&gt;0,TRIM(G62&amp;"")&lt;&gt;"—",LEN(TRIM(I62&amp;""))&gt;0,TRIM(I62&amp;"")&lt;&gt;"—",LEN(TRIM(J62&amp;""))&gt;0,TRIM(J62&amp;"")&lt;&gt;"—"),"PASS","⚠ FAIL — "&amp;"a required cell is empty/placeholder or wrong type")</f>
        <v>PASS</v>
      </c>
    </row>
    <row r="63" customFormat="false" ht="15" hidden="false" customHeight="false" outlineLevel="0" collapsed="false">
      <c r="A63" s="68" t="s">
        <v>1855</v>
      </c>
      <c r="B63" s="68" t="str">
        <f aca="false">'Part names'!$B$72</f>
        <v>Piping Network</v>
      </c>
      <c r="C63" s="68" t="n">
        <v>1</v>
      </c>
      <c r="D63" s="68" t="n">
        <v>0.5</v>
      </c>
      <c r="E63" s="68" t="n">
        <v>0.9</v>
      </c>
      <c r="F63" s="68" t="s">
        <v>1853</v>
      </c>
      <c r="G63" s="68" t="s">
        <v>1854</v>
      </c>
      <c r="H63" s="68" t="n">
        <v>25.8</v>
      </c>
      <c r="I63" s="68" t="n">
        <v>0.151</v>
      </c>
      <c r="J63" s="69" t="str">
        <f aca="false">IF(ISNUMBER(I63),IF(I63&lt;='Audit data'!$D$12,"✓","✗"),"✗")</f>
        <v>✓</v>
      </c>
      <c r="K63" s="69" t="str">
        <f aca="false">IF(AND(LEN(TRIM($A63&amp;""))&gt;0,LEN(TRIM(D63&amp;""))&gt;0,ISNUMBER(D63),D63&gt;0,ISNUMBER(E63),E63&gt;0,IF(AND(ISNUMBER(D63),ISNUMBER(E63),E63&gt;0),AND((D63*1000)/('Audit data'!$D$14*'Audit data'!$D$13*E63)&gt;=0.6,(D63*1000)/('Audit data'!$D$14*'Audit data'!$D$13*E63)&lt;=1.05),FALSE()),IF(AND(ISNUMBER(L63),ISNUMBER(E63)),L63&gt;=E63,FALSE()),ISNUMBER(SEARCH("mm",G63&amp;"")),IF(AND(ISNUMBER(M63),ISNUMBER(L63)),L63&lt;=M63,TRUE()),ISNUMBER(H63),H63&gt;0,J63="✓",LEN(TRIM(N63&amp;""))=0),"PASS","FAIL — "&amp;IF(LEN(TRIM(N63&amp;""))&gt;0,TRIM(N63&amp;""),"a circuit cell is missing/non-numeric, I inconsistent with kW at the board voltage, device/cable rating out of order, o…"))</f>
        <v>PASS</v>
      </c>
      <c r="L63" s="84" t="n">
        <v>6</v>
      </c>
      <c r="M63" s="84" t="n">
        <v>20</v>
      </c>
      <c r="N63" s="70"/>
      <c r="Q63" s="16" t="str">
        <f aca="false">IF(AND(LEN(TRIM(A63&amp;""))&gt;0,TRIM(A63&amp;"")&lt;&gt;"—",LEN(TRIM(B63&amp;""))&gt;0,TRIM(B63&amp;"")&lt;&gt;"—",LEN(TRIM(D63&amp;""))&gt;0,TRIM(D63&amp;"")&lt;&gt;"—",ISNUMBER(D63),LEN(TRIM(E63&amp;""))&gt;0,TRIM(E63&amp;"")&lt;&gt;"—",ISNUMBER(E63),LEN(TRIM(F63&amp;""))&gt;0,TRIM(F63&amp;"")&lt;&gt;"—",LEN(TRIM(G63&amp;""))&gt;0,TRIM(G63&amp;"")&lt;&gt;"—",LEN(TRIM(I63&amp;""))&gt;0,TRIM(I63&amp;"")&lt;&gt;"—",LEN(TRIM(J63&amp;""))&gt;0,TRIM(J63&amp;"")&lt;&gt;"—"),"PASS","⚠ FAIL — "&amp;"a required cell is empty/placeholder or wrong type")</f>
        <v>PASS</v>
      </c>
    </row>
    <row r="64" customFormat="false" ht="15" hidden="false" customHeight="false" outlineLevel="0" collapsed="false">
      <c r="A64" s="68" t="s">
        <v>1856</v>
      </c>
      <c r="B64" s="68" t="str">
        <f aca="false">'Part names'!$B$98</f>
        <v>Uv Disinfection</v>
      </c>
      <c r="C64" s="68" t="n">
        <v>1</v>
      </c>
      <c r="D64" s="68" t="n">
        <v>4</v>
      </c>
      <c r="E64" s="68" t="n">
        <v>7.5</v>
      </c>
      <c r="F64" s="68" t="s">
        <v>1857</v>
      </c>
      <c r="G64" s="68" t="s">
        <v>1854</v>
      </c>
      <c r="H64" s="68" t="n">
        <v>24.9</v>
      </c>
      <c r="I64" s="68" t="n">
        <v>1.212</v>
      </c>
      <c r="J64" s="69" t="str">
        <f aca="false">IF(ISNUMBER(I64),IF(I64&lt;='Audit data'!$D$12,"✓","✗"),"✗")</f>
        <v>✓</v>
      </c>
      <c r="K64" s="69" t="str">
        <f aca="false">IF(AND(LEN(TRIM($A64&amp;""))&gt;0,LEN(TRIM(D64&amp;""))&gt;0,ISNUMBER(D64),D64&gt;0,ISNUMBER(E64),E64&gt;0,IF(AND(ISNUMBER(D64),ISNUMBER(E64),E64&gt;0),AND((D64*1000)/('Audit data'!$D$14*'Audit data'!$D$13*E64)&gt;=0.6,(D64*1000)/('Audit data'!$D$14*'Audit data'!$D$13*E64)&lt;=1.05),FALSE()),IF(AND(ISNUMBER(L64),ISNUMBER(E64)),L64&gt;=E64,FALSE()),ISNUMBER(SEARCH("mm",G64&amp;"")),IF(AND(ISNUMBER(M64),ISNUMBER(L64)),L64&lt;=M64,TRUE()),ISNUMBER(H64),H64&gt;0,J64="✓",LEN(TRIM(N64&amp;""))=0),"PASS","FAIL — "&amp;IF(LEN(TRIM(N64&amp;""))&gt;0,TRIM(N64&amp;""),"a circuit cell is missing/non-numeric, I inconsistent with kW at the board voltage, device/cable rating out of order, o…"))</f>
        <v>PASS</v>
      </c>
      <c r="L64" s="84" t="n">
        <v>10</v>
      </c>
      <c r="M64" s="84" t="n">
        <v>20</v>
      </c>
      <c r="N64" s="70"/>
      <c r="Q64" s="16" t="str">
        <f aca="false">IF(AND(LEN(TRIM(A64&amp;""))&gt;0,TRIM(A64&amp;"")&lt;&gt;"—",LEN(TRIM(B64&amp;""))&gt;0,TRIM(B64&amp;"")&lt;&gt;"—",LEN(TRIM(D64&amp;""))&gt;0,TRIM(D64&amp;"")&lt;&gt;"—",ISNUMBER(D64),LEN(TRIM(E64&amp;""))&gt;0,TRIM(E64&amp;"")&lt;&gt;"—",ISNUMBER(E64),LEN(TRIM(F64&amp;""))&gt;0,TRIM(F64&amp;"")&lt;&gt;"—",LEN(TRIM(G64&amp;""))&gt;0,TRIM(G64&amp;"")&lt;&gt;"—",LEN(TRIM(I64&amp;""))&gt;0,TRIM(I64&amp;"")&lt;&gt;"—",LEN(TRIM(J64&amp;""))&gt;0,TRIM(J64&amp;"")&lt;&gt;"—"),"PASS","⚠ FAIL — "&amp;"a required cell is empty/placeholder or wrong type")</f>
        <v>PASS</v>
      </c>
    </row>
    <row r="65" customFormat="false" ht="15" hidden="false" customHeight="false" outlineLevel="0" collapsed="false">
      <c r="A65" s="68" t="s">
        <v>1858</v>
      </c>
      <c r="B65" s="68" t="str">
        <f aca="false">'Part names'!$B$32</f>
        <v>Fertigation Dosing Pump</v>
      </c>
      <c r="C65" s="68" t="n">
        <v>2</v>
      </c>
      <c r="D65" s="68" t="s">
        <v>1859</v>
      </c>
      <c r="E65" s="68" t="n">
        <v>15.1</v>
      </c>
      <c r="F65" s="68" t="s">
        <v>1860</v>
      </c>
      <c r="G65" s="68" t="s">
        <v>1854</v>
      </c>
      <c r="H65" s="68" t="n">
        <v>23.7</v>
      </c>
      <c r="I65" s="68" t="n">
        <v>2.328</v>
      </c>
      <c r="J65" s="69" t="str">
        <f aca="false">IF(ISNUMBER(I65),IF(I65&lt;='Audit data'!$D$12,"✓","✗"),"✗")</f>
        <v>✓</v>
      </c>
      <c r="K65" s="69" t="str">
        <f aca="false">IF(AND(LEN(TRIM($A65&amp;""))&gt;0,LEN(TRIM(D65&amp;""))&gt;0,ISNUMBER(O65),O65&gt;0,ISNUMBER(E65),E65&gt;0,IF(AND(ISNUMBER(O65),ISNUMBER(E65),E65&gt;0),AND((O65*1000)/('Audit data'!$D$14*'Audit data'!$D$13*E65)&gt;=0.6,(O65*1000)/('Audit data'!$D$14*'Audit data'!$D$13*E65)&lt;=1.05),FALSE()),IF(AND(ISNUMBER(L65),ISNUMBER(E65)),L65&gt;=E65,FALSE()),ISNUMBER(SEARCH("mm",G65&amp;"")),IF(AND(ISNUMBER(M65),ISNUMBER(L65)),L65&lt;=M65,TRUE()),ISNUMBER(H65),H65&gt;0,J65="✓",LEN(TRIM(N65&amp;""))=0),"PASS","FAIL — "&amp;IF(LEN(TRIM(N65&amp;""))&gt;0,TRIM(N65&amp;""),"a circuit cell is missing/non-numeric, I inconsistent with kW at the board voltage, device/cable rating out of order, o…"))</f>
        <v>PASS</v>
      </c>
      <c r="L65" s="84" t="n">
        <v>16</v>
      </c>
      <c r="M65" s="84" t="n">
        <v>20</v>
      </c>
      <c r="N65" s="70"/>
      <c r="O65" s="84" t="n">
        <v>7.5</v>
      </c>
      <c r="Q65" s="16" t="str">
        <f aca="false">IF(AND(LEN(TRIM(A65&amp;""))&gt;0,TRIM(A65&amp;"")&lt;&gt;"—",LEN(TRIM(B65&amp;""))&gt;0,TRIM(B65&amp;"")&lt;&gt;"—",LEN(TRIM(D65&amp;""))&gt;0,TRIM(D65&amp;"")&lt;&gt;"—",LEN(TRIM(E65&amp;""))&gt;0,TRIM(E65&amp;"")&lt;&gt;"—",ISNUMBER(E65),LEN(TRIM(F65&amp;""))&gt;0,TRIM(F65&amp;"")&lt;&gt;"—",LEN(TRIM(G65&amp;""))&gt;0,TRIM(G65&amp;"")&lt;&gt;"—",LEN(TRIM(I65&amp;""))&gt;0,TRIM(I65&amp;"")&lt;&gt;"—",LEN(TRIM(J65&amp;""))&gt;0,TRIM(J65&amp;"")&lt;&gt;"—"),"PASS","⚠ FAIL — "&amp;"a required cell is empty/placeholder or wrong type")</f>
        <v>PASS</v>
      </c>
    </row>
    <row r="66" customFormat="false" ht="15" hidden="false" customHeight="false" outlineLevel="0" collapsed="false">
      <c r="A66" s="68" t="s">
        <v>1861</v>
      </c>
      <c r="B66" s="68" t="str">
        <f aca="false">'Part names'!$B$40</f>
        <v>Hand Watering Pump</v>
      </c>
      <c r="C66" s="68" t="n">
        <v>1</v>
      </c>
      <c r="D66" s="68" t="n">
        <v>2.8</v>
      </c>
      <c r="E66" s="68" t="n">
        <v>5.3</v>
      </c>
      <c r="F66" s="68" t="s">
        <v>1853</v>
      </c>
      <c r="G66" s="68" t="s">
        <v>1854</v>
      </c>
      <c r="H66" s="68" t="n">
        <v>31.2</v>
      </c>
      <c r="I66" s="68" t="n">
        <v>1.076</v>
      </c>
      <c r="J66" s="69" t="str">
        <f aca="false">IF(ISNUMBER(I66),IF(I66&lt;='Audit data'!$D$12,"✓","✗"),"✗")</f>
        <v>✓</v>
      </c>
      <c r="K66" s="69" t="str">
        <f aca="false">IF(AND(LEN(TRIM($A66&amp;""))&gt;0,LEN(TRIM(D66&amp;""))&gt;0,ISNUMBER(D66),D66&gt;0,ISNUMBER(E66),E66&gt;0,IF(AND(ISNUMBER(D66),ISNUMBER(E66),E66&gt;0),AND((D66*1000)/('Audit data'!$D$14*'Audit data'!$D$13*E66)&gt;=0.6,(D66*1000)/('Audit data'!$D$14*'Audit data'!$D$13*E66)&lt;=1.05),FALSE()),IF(AND(ISNUMBER(L66),ISNUMBER(E66)),L66&gt;=E66,FALSE()),ISNUMBER(SEARCH("mm",G66&amp;"")),IF(AND(ISNUMBER(M66),ISNUMBER(L66)),L66&lt;=M66,TRUE()),ISNUMBER(H66),H66&gt;0,J66="✓",LEN(TRIM(N66&amp;""))=0),"PASS","FAIL — "&amp;IF(LEN(TRIM(N66&amp;""))&gt;0,TRIM(N66&amp;""),"a circuit cell is missing/non-numeric, I inconsistent with kW at the board voltage, device/cable rating out of order, o…"))</f>
        <v>PASS</v>
      </c>
      <c r="L66" s="84" t="n">
        <v>6</v>
      </c>
      <c r="M66" s="84" t="n">
        <v>20</v>
      </c>
      <c r="N66" s="70"/>
      <c r="Q66" s="16" t="str">
        <f aca="false">IF(AND(LEN(TRIM(A66&amp;""))&gt;0,TRIM(A66&amp;"")&lt;&gt;"—",LEN(TRIM(B66&amp;""))&gt;0,TRIM(B66&amp;"")&lt;&gt;"—",LEN(TRIM(D66&amp;""))&gt;0,TRIM(D66&amp;"")&lt;&gt;"—",ISNUMBER(D66),LEN(TRIM(E66&amp;""))&gt;0,TRIM(E66&amp;"")&lt;&gt;"—",ISNUMBER(E66),LEN(TRIM(F66&amp;""))&gt;0,TRIM(F66&amp;"")&lt;&gt;"—",LEN(TRIM(G66&amp;""))&gt;0,TRIM(G66&amp;"")&lt;&gt;"—",LEN(TRIM(I66&amp;""))&gt;0,TRIM(I66&amp;"")&lt;&gt;"—",LEN(TRIM(J66&amp;""))&gt;0,TRIM(J66&amp;"")&lt;&gt;"—"),"PASS","⚠ FAIL — "&amp;"a required cell is empty/placeholder or wrong type")</f>
        <v>PASS</v>
      </c>
    </row>
    <row r="67" customFormat="false" ht="15" hidden="false" customHeight="false" outlineLevel="0" collapsed="false">
      <c r="A67" s="68" t="s">
        <v>1862</v>
      </c>
      <c r="B67" s="68" t="str">
        <f aca="false">'Part names'!$B$26</f>
        <v>Drain Transfer Pump</v>
      </c>
      <c r="C67" s="68" t="n">
        <v>2</v>
      </c>
      <c r="D67" s="68" t="s">
        <v>1863</v>
      </c>
      <c r="E67" s="68" t="n">
        <v>3.8</v>
      </c>
      <c r="F67" s="68" t="s">
        <v>1853</v>
      </c>
      <c r="G67" s="68" t="s">
        <v>1854</v>
      </c>
      <c r="H67" s="68" t="n">
        <v>27.3</v>
      </c>
      <c r="I67" s="68" t="n">
        <v>0.675</v>
      </c>
      <c r="J67" s="69" t="str">
        <f aca="false">IF(ISNUMBER(I67),IF(I67&lt;='Audit data'!$D$12,"✓","✗"),"✗")</f>
        <v>✓</v>
      </c>
      <c r="K67" s="69" t="str">
        <f aca="false">IF(AND(LEN(TRIM($A67&amp;""))&gt;0,LEN(TRIM(D67&amp;""))&gt;0,ISNUMBER(O67),O67&gt;0,ISNUMBER(E67),E67&gt;0,IF(AND(ISNUMBER(O67),ISNUMBER(E67),E67&gt;0),AND((O67*1000)/('Audit data'!$D$14*'Audit data'!$D$13*E67)&gt;=0.6,(O67*1000)/('Audit data'!$D$14*'Audit data'!$D$13*E67)&lt;=1.05),FALSE()),IF(AND(ISNUMBER(L67),ISNUMBER(E67)),L67&gt;=E67,FALSE()),ISNUMBER(SEARCH("mm",G67&amp;"")),IF(AND(ISNUMBER(M67),ISNUMBER(L67)),L67&lt;=M67,TRUE()),ISNUMBER(H67),H67&gt;0,J67="✓",LEN(TRIM(N67&amp;""))=0),"PASS","FAIL — "&amp;IF(LEN(TRIM(N67&amp;""))&gt;0,TRIM(N67&amp;""),"a circuit cell is missing/non-numeric, I inconsistent with kW at the board voltage, device/cable rating out of order, o…"))</f>
        <v>PASS</v>
      </c>
      <c r="L67" s="84" t="n">
        <v>6</v>
      </c>
      <c r="M67" s="84" t="n">
        <v>20</v>
      </c>
      <c r="N67" s="70"/>
      <c r="O67" s="84" t="n">
        <v>1.92</v>
      </c>
      <c r="Q67" s="16" t="str">
        <f aca="false">IF(AND(LEN(TRIM(A67&amp;""))&gt;0,TRIM(A67&amp;"")&lt;&gt;"—",LEN(TRIM(B67&amp;""))&gt;0,TRIM(B67&amp;"")&lt;&gt;"—",LEN(TRIM(D67&amp;""))&gt;0,TRIM(D67&amp;"")&lt;&gt;"—",LEN(TRIM(E67&amp;""))&gt;0,TRIM(E67&amp;"")&lt;&gt;"—",ISNUMBER(E67),LEN(TRIM(F67&amp;""))&gt;0,TRIM(F67&amp;"")&lt;&gt;"—",LEN(TRIM(G67&amp;""))&gt;0,TRIM(G67&amp;"")&lt;&gt;"—",LEN(TRIM(I67&amp;""))&gt;0,TRIM(I67&amp;"")&lt;&gt;"—",LEN(TRIM(J67&amp;""))&gt;0,TRIM(J67&amp;"")&lt;&gt;"—"),"PASS","⚠ FAIL — "&amp;"a required cell is empty/placeholder or wrong type")</f>
        <v>PASS</v>
      </c>
    </row>
    <row r="68" customFormat="false" ht="15" hidden="false" customHeight="false" outlineLevel="0" collapsed="false">
      <c r="A68" s="68" t="s">
        <v>1864</v>
      </c>
      <c r="B68" s="68" t="str">
        <f aca="false">'Part names'!$B$16</f>
        <v>Cloth Filter</v>
      </c>
      <c r="C68" s="68" t="n">
        <v>2</v>
      </c>
      <c r="D68" s="68" t="s">
        <v>1865</v>
      </c>
      <c r="E68" s="68" t="n">
        <v>1.1</v>
      </c>
      <c r="F68" s="68" t="s">
        <v>1853</v>
      </c>
      <c r="G68" s="68" t="s">
        <v>1854</v>
      </c>
      <c r="H68" s="68" t="n">
        <v>21.2</v>
      </c>
      <c r="I68" s="68" t="n">
        <v>0.152</v>
      </c>
      <c r="J68" s="69" t="str">
        <f aca="false">IF(ISNUMBER(I68),IF(I68&lt;='Audit data'!$D$12,"✓","✗"),"✗")</f>
        <v>✓</v>
      </c>
      <c r="K68" s="69" t="str">
        <f aca="false">IF(AND(LEN(TRIM($A68&amp;""))&gt;0,LEN(TRIM(D68&amp;""))&gt;0,ISNUMBER(O68),O68&gt;0,ISNUMBER(E68),E68&gt;0,IF(AND(ISNUMBER(O68),ISNUMBER(E68),E68&gt;0),AND((O68*1000)/('Audit data'!$D$14*'Audit data'!$D$13*E68)&gt;=0.6,(O68*1000)/('Audit data'!$D$14*'Audit data'!$D$13*E68)&lt;=1.05),FALSE()),IF(AND(ISNUMBER(L68),ISNUMBER(E68)),L68&gt;=E68,FALSE()),ISNUMBER(SEARCH("mm",G68&amp;"")),IF(AND(ISNUMBER(M68),ISNUMBER(L68)),L68&lt;=M68,TRUE()),ISNUMBER(H68),H68&gt;0,J68="✓",LEN(TRIM(N68&amp;""))=0),"PASS","FAIL — "&amp;IF(LEN(TRIM(N68&amp;""))&gt;0,TRIM(N68&amp;""),"a circuit cell is missing/non-numeric, I inconsistent with kW at the board voltage, device/cable rating out of order, o…"))</f>
        <v>PASS</v>
      </c>
      <c r="L68" s="84" t="n">
        <v>6</v>
      </c>
      <c r="M68" s="84" t="n">
        <v>20</v>
      </c>
      <c r="N68" s="70"/>
      <c r="O68" s="84" t="n">
        <v>0.6</v>
      </c>
      <c r="Q68" s="16" t="str">
        <f aca="false">IF(AND(LEN(TRIM(A68&amp;""))&gt;0,TRIM(A68&amp;"")&lt;&gt;"—",LEN(TRIM(B68&amp;""))&gt;0,TRIM(B68&amp;"")&lt;&gt;"—",LEN(TRIM(D68&amp;""))&gt;0,TRIM(D68&amp;"")&lt;&gt;"—",LEN(TRIM(E68&amp;""))&gt;0,TRIM(E68&amp;"")&lt;&gt;"—",ISNUMBER(E68),LEN(TRIM(F68&amp;""))&gt;0,TRIM(F68&amp;"")&lt;&gt;"—",LEN(TRIM(G68&amp;""))&gt;0,TRIM(G68&amp;"")&lt;&gt;"—",LEN(TRIM(I68&amp;""))&gt;0,TRIM(I68&amp;"")&lt;&gt;"—",LEN(TRIM(J68&amp;""))&gt;0,TRIM(J68&amp;"")&lt;&gt;"—"),"PASS","⚠ FAIL — "&amp;"a required cell is empty/placeholder or wrong type")</f>
        <v>PASS</v>
      </c>
    </row>
    <row r="69" customFormat="false" ht="15" hidden="false" customHeight="false" outlineLevel="0" collapsed="false">
      <c r="A69" s="68" t="s">
        <v>1866</v>
      </c>
      <c r="B69" s="68" t="s">
        <v>1867</v>
      </c>
      <c r="C69" s="68" t="n">
        <v>1</v>
      </c>
      <c r="D69" s="68" t="n">
        <v>9.65</v>
      </c>
      <c r="E69" s="68" t="n">
        <v>18.2</v>
      </c>
      <c r="F69" s="68" t="s">
        <v>1868</v>
      </c>
      <c r="G69" s="68" t="s">
        <v>1854</v>
      </c>
      <c r="H69" s="68" t="n">
        <v>28.1</v>
      </c>
      <c r="I69" s="68" t="n">
        <v>3.316</v>
      </c>
      <c r="J69" s="69" t="str">
        <f aca="false">IF(ISNUMBER(I69),IF(I69&lt;='Audit data'!$D$12,"✓","✗"),"✗")</f>
        <v>✓</v>
      </c>
      <c r="K69" s="69" t="str">
        <f aca="false">IF(AND(LEN(TRIM($A69&amp;""))&gt;0,LEN(TRIM(D69&amp;""))&gt;0,ISNUMBER(D69),D69&gt;0,ISNUMBER(E69),E69&gt;0,IF(AND(ISNUMBER(D69),ISNUMBER(E69),E69&gt;0),AND((D69*1000)/('Audit data'!$D$14*'Audit data'!$D$13*E69)&gt;=0.6,(D69*1000)/('Audit data'!$D$14*'Audit data'!$D$13*E69)&lt;=1.05),FALSE()),IF(AND(ISNUMBER(L69),ISNUMBER(E69)),L69&gt;=E69,FALSE()),ISNUMBER(SEARCH("mm",G69&amp;"")),IF(AND(ISNUMBER(M69),ISNUMBER(L69)),L69&lt;=M69,TRUE()),ISNUMBER(H69),H69&gt;0,J69="✓",LEN(TRIM(N69&amp;""))=0),"PASS","FAIL — "&amp;IF(LEN(TRIM(N69&amp;""))&gt;0,TRIM(N69&amp;""),"a circuit cell is missing/non-numeric, I inconsistent with kW at the board voltage, device/cable rating out of order, o…"))</f>
        <v>PASS</v>
      </c>
      <c r="L69" s="84" t="n">
        <v>20</v>
      </c>
      <c r="M69" s="84" t="n">
        <v>20</v>
      </c>
      <c r="N69" s="70"/>
      <c r="Q69" s="16" t="str">
        <f aca="false">IF(AND(LEN(TRIM(A69&amp;""))&gt;0,TRIM(A69&amp;"")&lt;&gt;"—",LEN(TRIM(B69&amp;""))&gt;0,TRIM(B69&amp;"")&lt;&gt;"—",LEN(TRIM(D69&amp;""))&gt;0,TRIM(D69&amp;"")&lt;&gt;"—",ISNUMBER(D69),LEN(TRIM(E69&amp;""))&gt;0,TRIM(E69&amp;"")&lt;&gt;"—",ISNUMBER(E69),LEN(TRIM(F69&amp;""))&gt;0,TRIM(F69&amp;"")&lt;&gt;"—",LEN(TRIM(G69&amp;""))&gt;0,TRIM(G69&amp;"")&lt;&gt;"—",LEN(TRIM(I69&amp;""))&gt;0,TRIM(I69&amp;"")&lt;&gt;"—",LEN(TRIM(J69&amp;""))&gt;0,TRIM(J69&amp;"")&lt;&gt;"—"),"PASS","⚠ FAIL — "&amp;"a required cell is empty/placeholder or wrong type")</f>
        <v>PASS</v>
      </c>
    </row>
    <row r="70" customFormat="false" ht="15" hidden="false" customHeight="false" outlineLevel="0" collapsed="false">
      <c r="A70" s="68" t="s">
        <v>1869</v>
      </c>
      <c r="B70" s="68" t="str">
        <f aca="false">'Part names'!$B$82</f>
        <v>Ro High Pressure Pump</v>
      </c>
      <c r="C70" s="68" t="n">
        <v>1</v>
      </c>
      <c r="D70" s="68" t="n">
        <v>4.2</v>
      </c>
      <c r="E70" s="68" t="n">
        <v>7.9</v>
      </c>
      <c r="F70" s="68" t="s">
        <v>1857</v>
      </c>
      <c r="G70" s="68" t="s">
        <v>1854</v>
      </c>
      <c r="H70" s="68" t="n">
        <v>32.4</v>
      </c>
      <c r="I70" s="68" t="n">
        <v>1.664</v>
      </c>
      <c r="J70" s="69" t="str">
        <f aca="false">IF(ISNUMBER(I70),IF(I70&lt;='Audit data'!$D$12,"✓","✗"),"✗")</f>
        <v>✓</v>
      </c>
      <c r="K70" s="69" t="str">
        <f aca="false">IF(AND(LEN(TRIM($A70&amp;""))&gt;0,LEN(TRIM(D70&amp;""))&gt;0,ISNUMBER(D70),D70&gt;0,ISNUMBER(E70),E70&gt;0,IF(AND(ISNUMBER(D70),ISNUMBER(E70),E70&gt;0),AND((D70*1000)/('Audit data'!$D$14*'Audit data'!$D$13*E70)&gt;=0.6,(D70*1000)/('Audit data'!$D$14*'Audit data'!$D$13*E70)&lt;=1.05),FALSE()),IF(AND(ISNUMBER(L70),ISNUMBER(E70)),L70&gt;=E70,FALSE()),ISNUMBER(SEARCH("mm",G70&amp;"")),IF(AND(ISNUMBER(M70),ISNUMBER(L70)),L70&lt;=M70,TRUE()),ISNUMBER(H70),H70&gt;0,J70="✓",LEN(TRIM(N70&amp;""))=0),"PASS","FAIL — "&amp;IF(LEN(TRIM(N70&amp;""))&gt;0,TRIM(N70&amp;""),"a circuit cell is missing/non-numeric, I inconsistent with kW at the board voltage, device/cable rating out of order, o…"))</f>
        <v>PASS</v>
      </c>
      <c r="L70" s="84" t="n">
        <v>10</v>
      </c>
      <c r="M70" s="84" t="n">
        <v>20</v>
      </c>
      <c r="N70" s="70"/>
      <c r="Q70" s="16" t="str">
        <f aca="false">IF(AND(LEN(TRIM(A70&amp;""))&gt;0,TRIM(A70&amp;"")&lt;&gt;"—",LEN(TRIM(B70&amp;""))&gt;0,TRIM(B70&amp;"")&lt;&gt;"—",LEN(TRIM(D70&amp;""))&gt;0,TRIM(D70&amp;"")&lt;&gt;"—",ISNUMBER(D70),LEN(TRIM(E70&amp;""))&gt;0,TRIM(E70&amp;"")&lt;&gt;"—",ISNUMBER(E70),LEN(TRIM(F70&amp;""))&gt;0,TRIM(F70&amp;"")&lt;&gt;"—",LEN(TRIM(G70&amp;""))&gt;0,TRIM(G70&amp;"")&lt;&gt;"—",LEN(TRIM(I70&amp;""))&gt;0,TRIM(I70&amp;"")&lt;&gt;"—",LEN(TRIM(J70&amp;""))&gt;0,TRIM(J70&amp;"")&lt;&gt;"—"),"PASS","⚠ FAIL — "&amp;"a required cell is empty/placeholder or wrong type")</f>
        <v>PASS</v>
      </c>
    </row>
    <row r="71" customFormat="false" ht="15" hidden="false" customHeight="false" outlineLevel="0" collapsed="false">
      <c r="A71" s="68" t="s">
        <v>1870</v>
      </c>
      <c r="B71" s="68" t="str">
        <f aca="false">'Part names'!$B$37</f>
        <v>Gac Filter</v>
      </c>
      <c r="C71" s="68" t="n">
        <v>1</v>
      </c>
      <c r="D71" s="68" t="n">
        <v>0.6</v>
      </c>
      <c r="E71" s="68" t="n">
        <v>1.1</v>
      </c>
      <c r="F71" s="68" t="s">
        <v>1853</v>
      </c>
      <c r="G71" s="68" t="s">
        <v>1854</v>
      </c>
      <c r="H71" s="68" t="n">
        <v>33.7</v>
      </c>
      <c r="I71" s="68" t="n">
        <v>0.241</v>
      </c>
      <c r="J71" s="69" t="str">
        <f aca="false">IF(ISNUMBER(I71),IF(I71&lt;='Audit data'!$D$12,"✓","✗"),"✗")</f>
        <v>✓</v>
      </c>
      <c r="K71" s="69" t="str">
        <f aca="false">IF(AND(LEN(TRIM($A71&amp;""))&gt;0,LEN(TRIM(D71&amp;""))&gt;0,ISNUMBER(D71),D71&gt;0,ISNUMBER(E71),E71&gt;0,IF(AND(ISNUMBER(D71),ISNUMBER(E71),E71&gt;0),AND((D71*1000)/('Audit data'!$D$14*'Audit data'!$D$13*E71)&gt;=0.6,(D71*1000)/('Audit data'!$D$14*'Audit data'!$D$13*E71)&lt;=1.05),FALSE()),IF(AND(ISNUMBER(L71),ISNUMBER(E71)),L71&gt;=E71,FALSE()),ISNUMBER(SEARCH("mm",G71&amp;"")),IF(AND(ISNUMBER(M71),ISNUMBER(L71)),L71&lt;=M71,TRUE()),ISNUMBER(H71),H71&gt;0,J71="✓",LEN(TRIM(N71&amp;""))=0),"PASS","FAIL — "&amp;IF(LEN(TRIM(N71&amp;""))&gt;0,TRIM(N71&amp;""),"a circuit cell is missing/non-numeric, I inconsistent with kW at the board voltage, device/cable rating out of order, o…"))</f>
        <v>PASS</v>
      </c>
      <c r="L71" s="84" t="n">
        <v>6</v>
      </c>
      <c r="M71" s="84" t="n">
        <v>20</v>
      </c>
      <c r="N71" s="70"/>
      <c r="Q71" s="16" t="str">
        <f aca="false">IF(AND(LEN(TRIM(A71&amp;""))&gt;0,TRIM(A71&amp;"")&lt;&gt;"—",LEN(TRIM(B71&amp;""))&gt;0,TRIM(B71&amp;"")&lt;&gt;"—",LEN(TRIM(D71&amp;""))&gt;0,TRIM(D71&amp;"")&lt;&gt;"—",ISNUMBER(D71),LEN(TRIM(E71&amp;""))&gt;0,TRIM(E71&amp;"")&lt;&gt;"—",ISNUMBER(E71),LEN(TRIM(F71&amp;""))&gt;0,TRIM(F71&amp;"")&lt;&gt;"—",LEN(TRIM(G71&amp;""))&gt;0,TRIM(G71&amp;"")&lt;&gt;"—",LEN(TRIM(I71&amp;""))&gt;0,TRIM(I71&amp;"")&lt;&gt;"—",LEN(TRIM(J71&amp;""))&gt;0,TRIM(J71&amp;"")&lt;&gt;"—"),"PASS","⚠ FAIL — "&amp;"a required cell is empty/placeholder or wrong type")</f>
        <v>PASS</v>
      </c>
    </row>
    <row r="72" customFormat="false" ht="15" hidden="false" customHeight="false" outlineLevel="0" collapsed="false">
      <c r="A72" s="68" t="s">
        <v>1871</v>
      </c>
      <c r="B72" s="68" t="str">
        <f aca="false">'Part names'!$B$69</f>
        <v>Permeate Outlet</v>
      </c>
      <c r="C72" s="68" t="n">
        <v>1</v>
      </c>
      <c r="D72" s="68" t="n">
        <v>0.6</v>
      </c>
      <c r="E72" s="68" t="n">
        <v>1.1</v>
      </c>
      <c r="F72" s="68" t="s">
        <v>1853</v>
      </c>
      <c r="G72" s="68" t="s">
        <v>1854</v>
      </c>
      <c r="H72" s="68" t="n">
        <v>10.5</v>
      </c>
      <c r="I72" s="68" t="n">
        <v>0.075</v>
      </c>
      <c r="J72" s="69" t="str">
        <f aca="false">IF(ISNUMBER(I72),IF(I72&lt;='Audit data'!$D$12,"✓","✗"),"✗")</f>
        <v>✓</v>
      </c>
      <c r="K72" s="69" t="str">
        <f aca="false">IF(AND(LEN(TRIM($A72&amp;""))&gt;0,LEN(TRIM(D72&amp;""))&gt;0,ISNUMBER(D72),D72&gt;0,ISNUMBER(E72),E72&gt;0,IF(AND(ISNUMBER(D72),ISNUMBER(E72),E72&gt;0),AND((D72*1000)/('Audit data'!$D$14*'Audit data'!$D$13*E72)&gt;=0.6,(D72*1000)/('Audit data'!$D$14*'Audit data'!$D$13*E72)&lt;=1.05),FALSE()),IF(AND(ISNUMBER(L72),ISNUMBER(E72)),L72&gt;=E72,FALSE()),ISNUMBER(SEARCH("mm",G72&amp;"")),IF(AND(ISNUMBER(M72),ISNUMBER(L72)),L72&lt;=M72,TRUE()),ISNUMBER(H72),H72&gt;0,J72="✓",LEN(TRIM(N72&amp;""))=0),"PASS","FAIL — "&amp;IF(LEN(TRIM(N72&amp;""))&gt;0,TRIM(N72&amp;""),"a circuit cell is missing/non-numeric, I inconsistent with kW at the board voltage, device/cable rating out of order, o…"))</f>
        <v>PASS</v>
      </c>
      <c r="L72" s="84" t="n">
        <v>6</v>
      </c>
      <c r="M72" s="84" t="n">
        <v>20</v>
      </c>
      <c r="N72" s="70"/>
      <c r="Q72" s="16" t="str">
        <f aca="false">IF(AND(LEN(TRIM(A72&amp;""))&gt;0,TRIM(A72&amp;"")&lt;&gt;"—",LEN(TRIM(B72&amp;""))&gt;0,TRIM(B72&amp;"")&lt;&gt;"—",LEN(TRIM(D72&amp;""))&gt;0,TRIM(D72&amp;"")&lt;&gt;"—",ISNUMBER(D72),LEN(TRIM(E72&amp;""))&gt;0,TRIM(E72&amp;"")&lt;&gt;"—",ISNUMBER(E72),LEN(TRIM(F72&amp;""))&gt;0,TRIM(F72&amp;"")&lt;&gt;"—",LEN(TRIM(G72&amp;""))&gt;0,TRIM(G72&amp;"")&lt;&gt;"—",LEN(TRIM(I72&amp;""))&gt;0,TRIM(I72&amp;"")&lt;&gt;"—",LEN(TRIM(J72&amp;""))&gt;0,TRIM(J72&amp;"")&lt;&gt;"—"),"PASS","⚠ FAIL — "&amp;"a required cell is empty/placeholder or wrong type")</f>
        <v>PASS</v>
      </c>
    </row>
    <row r="73" customFormat="false" ht="15" hidden="false" customHeight="false" outlineLevel="0" collapsed="false">
      <c r="A73" s="68" t="s">
        <v>1872</v>
      </c>
      <c r="B73" s="68" t="str">
        <f aca="false">'Part names'!$B$18</f>
        <v>Concentrate Outlet</v>
      </c>
      <c r="C73" s="68" t="n">
        <v>1</v>
      </c>
      <c r="D73" s="68" t="n">
        <v>0.6</v>
      </c>
      <c r="E73" s="68" t="n">
        <v>1.1</v>
      </c>
      <c r="F73" s="68" t="s">
        <v>1853</v>
      </c>
      <c r="G73" s="68" t="s">
        <v>1854</v>
      </c>
      <c r="H73" s="68" t="n">
        <v>7.5</v>
      </c>
      <c r="I73" s="68" t="n">
        <v>0.054</v>
      </c>
      <c r="J73" s="69" t="str">
        <f aca="false">IF(ISNUMBER(I73),IF(I73&lt;='Audit data'!$D$12,"✓","✗"),"✗")</f>
        <v>✓</v>
      </c>
      <c r="K73" s="69" t="str">
        <f aca="false">IF(AND(LEN(TRIM($A73&amp;""))&gt;0,LEN(TRIM(D73&amp;""))&gt;0,ISNUMBER(D73),D73&gt;0,ISNUMBER(E73),E73&gt;0,IF(AND(ISNUMBER(D73),ISNUMBER(E73),E73&gt;0),AND((D73*1000)/('Audit data'!$D$14*'Audit data'!$D$13*E73)&gt;=0.6,(D73*1000)/('Audit data'!$D$14*'Audit data'!$D$13*E73)&lt;=1.05),FALSE()),IF(AND(ISNUMBER(L73),ISNUMBER(E73)),L73&gt;=E73,FALSE()),ISNUMBER(SEARCH("mm",G73&amp;"")),IF(AND(ISNUMBER(M73),ISNUMBER(L73)),L73&lt;=M73,TRUE()),ISNUMBER(H73),H73&gt;0,J73="✓",LEN(TRIM(N73&amp;""))=0),"PASS","FAIL — "&amp;IF(LEN(TRIM(N73&amp;""))&gt;0,TRIM(N73&amp;""),"a circuit cell is missing/non-numeric, I inconsistent with kW at the board voltage, device/cable rating out of order, o…"))</f>
        <v>PASS</v>
      </c>
      <c r="L73" s="84" t="n">
        <v>6</v>
      </c>
      <c r="M73" s="84" t="n">
        <v>20</v>
      </c>
      <c r="N73" s="70"/>
      <c r="Q73" s="16" t="str">
        <f aca="false">IF(AND(LEN(TRIM(A73&amp;""))&gt;0,TRIM(A73&amp;"")&lt;&gt;"—",LEN(TRIM(B73&amp;""))&gt;0,TRIM(B73&amp;"")&lt;&gt;"—",LEN(TRIM(D73&amp;""))&gt;0,TRIM(D73&amp;"")&lt;&gt;"—",ISNUMBER(D73),LEN(TRIM(E73&amp;""))&gt;0,TRIM(E73&amp;"")&lt;&gt;"—",ISNUMBER(E73),LEN(TRIM(F73&amp;""))&gt;0,TRIM(F73&amp;"")&lt;&gt;"—",LEN(TRIM(G73&amp;""))&gt;0,TRIM(G73&amp;"")&lt;&gt;"—",LEN(TRIM(I73&amp;""))&gt;0,TRIM(I73&amp;"")&lt;&gt;"—",LEN(TRIM(J73&amp;""))&gt;0,TRIM(J73&amp;"")&lt;&gt;"—"),"PASS","⚠ FAIL — "&amp;"a required cell is empty/placeholder or wrong type")</f>
        <v>PASS</v>
      </c>
    </row>
    <row r="74" customFormat="false" ht="15" hidden="false" customHeight="false" outlineLevel="0" collapsed="false">
      <c r="A74" s="68" t="s">
        <v>1873</v>
      </c>
      <c r="B74" s="68" t="str">
        <f aca="false">'Part names'!$B$29</f>
        <v>Electrical Control Panel</v>
      </c>
      <c r="C74" s="68" t="n">
        <v>1</v>
      </c>
      <c r="D74" s="68" t="n">
        <v>0.2</v>
      </c>
      <c r="E74" s="68" t="n">
        <v>0.4</v>
      </c>
      <c r="F74" s="68" t="s">
        <v>1853</v>
      </c>
      <c r="G74" s="68" t="s">
        <v>1854</v>
      </c>
      <c r="H74" s="68" t="n">
        <v>3.6</v>
      </c>
      <c r="I74" s="68" t="n">
        <v>0.009</v>
      </c>
      <c r="J74" s="69" t="str">
        <f aca="false">IF(ISNUMBER(I74),IF(I74&lt;='Audit data'!$D$12,"✓","✗"),"✗")</f>
        <v>✓</v>
      </c>
      <c r="K74" s="69" t="str">
        <f aca="false">IF(AND(LEN(TRIM($A74&amp;""))&gt;0,LEN(TRIM(D74&amp;""))&gt;0,ISNUMBER(D74),D74&gt;0,ISNUMBER(E74),E74&gt;0,IF(AND(ISNUMBER(D74),ISNUMBER(E74),E74&gt;0),AND((D74*1000)/('Audit data'!$D$14*'Audit data'!$D$13*E74)&gt;=0.6,(D74*1000)/('Audit data'!$D$14*'Audit data'!$D$13*E74)&lt;=1.05),FALSE()),IF(AND(ISNUMBER(L74),ISNUMBER(E74)),L74&gt;=E74,FALSE()),ISNUMBER(SEARCH("mm",G74&amp;"")),IF(AND(ISNUMBER(M74),ISNUMBER(L74)),L74&lt;=M74,TRUE()),ISNUMBER(H74),H74&gt;0,J74="✓",LEN(TRIM(N74&amp;""))=0),"PASS","FAIL — "&amp;IF(LEN(TRIM(N74&amp;""))&gt;0,TRIM(N74&amp;""),"a circuit cell is missing/non-numeric, I inconsistent with kW at the board voltage, device/cable rating out of order, o…"))</f>
        <v>PASS</v>
      </c>
      <c r="L74" s="84" t="n">
        <v>6</v>
      </c>
      <c r="M74" s="84" t="n">
        <v>20</v>
      </c>
      <c r="N74" s="70"/>
      <c r="Q74" s="16" t="str">
        <f aca="false">IF(AND(LEN(TRIM(A74&amp;""))&gt;0,TRIM(A74&amp;"")&lt;&gt;"—",LEN(TRIM(B74&amp;""))&gt;0,TRIM(B74&amp;"")&lt;&gt;"—",LEN(TRIM(D74&amp;""))&gt;0,TRIM(D74&amp;"")&lt;&gt;"—",ISNUMBER(D74),LEN(TRIM(E74&amp;""))&gt;0,TRIM(E74&amp;"")&lt;&gt;"—",ISNUMBER(E74),LEN(TRIM(F74&amp;""))&gt;0,TRIM(F74&amp;"")&lt;&gt;"—",LEN(TRIM(G74&amp;""))&gt;0,TRIM(G74&amp;"")&lt;&gt;"—",LEN(TRIM(I74&amp;""))&gt;0,TRIM(I74&amp;"")&lt;&gt;"—",LEN(TRIM(J74&amp;""))&gt;0,TRIM(J74&amp;"")&lt;&gt;"—"),"PASS","⚠ FAIL — "&amp;"a required cell is empty/placeholder or wrong type")</f>
        <v>PASS</v>
      </c>
    </row>
    <row r="75" customFormat="false" ht="15" hidden="false" customHeight="false" outlineLevel="0" collapsed="false">
      <c r="A75" s="68" t="s">
        <v>1874</v>
      </c>
      <c r="B75" s="68" t="str">
        <f aca="false">'Part names'!$B$20</f>
        <v>Control + Instrument UPS</v>
      </c>
      <c r="C75" s="68" t="n">
        <v>1</v>
      </c>
      <c r="D75" s="68" t="n">
        <v>0.5</v>
      </c>
      <c r="E75" s="68" t="n">
        <v>0.9</v>
      </c>
      <c r="F75" s="68" t="s">
        <v>1853</v>
      </c>
      <c r="G75" s="68" t="s">
        <v>1854</v>
      </c>
      <c r="H75" s="68" t="n">
        <v>3.6</v>
      </c>
      <c r="I75" s="68" t="n">
        <v>0.021</v>
      </c>
      <c r="J75" s="69" t="str">
        <f aca="false">IF(ISNUMBER(I75),IF(I75&lt;='Audit data'!$D$12,"✓","✗"),"✗")</f>
        <v>✓</v>
      </c>
      <c r="K75" s="69" t="str">
        <f aca="false">IF(AND(LEN(TRIM($A75&amp;""))&gt;0,LEN(TRIM(D75&amp;""))&gt;0,ISNUMBER(D75),D75&gt;0,ISNUMBER(E75),E75&gt;0,IF(AND(ISNUMBER(D75),ISNUMBER(E75),E75&gt;0),AND((D75*1000)/('Audit data'!$D$14*'Audit data'!$D$13*E75)&gt;=0.6,(D75*1000)/('Audit data'!$D$14*'Audit data'!$D$13*E75)&lt;=1.05),FALSE()),IF(AND(ISNUMBER(L75),ISNUMBER(E75)),L75&gt;=E75,FALSE()),ISNUMBER(SEARCH("mm",G75&amp;"")),IF(AND(ISNUMBER(M75),ISNUMBER(L75)),L75&lt;=M75,TRUE()),ISNUMBER(H75),H75&gt;0,J75="✓",LEN(TRIM(N75&amp;""))=0),"PASS","FAIL — "&amp;IF(LEN(TRIM(N75&amp;""))&gt;0,TRIM(N75&amp;""),"a circuit cell is missing/non-numeric, I inconsistent with kW at the board voltage, device/cable rating out of order, o…"))</f>
        <v>PASS</v>
      </c>
      <c r="L75" s="84" t="n">
        <v>6</v>
      </c>
      <c r="M75" s="84" t="n">
        <v>20</v>
      </c>
      <c r="N75" s="70"/>
      <c r="Q75" s="16" t="str">
        <f aca="false">IF(AND(LEN(TRIM(A75&amp;""))&gt;0,TRIM(A75&amp;"")&lt;&gt;"—",LEN(TRIM(B75&amp;""))&gt;0,TRIM(B75&amp;"")&lt;&gt;"—",LEN(TRIM(D75&amp;""))&gt;0,TRIM(D75&amp;"")&lt;&gt;"—",ISNUMBER(D75),LEN(TRIM(E75&amp;""))&gt;0,TRIM(E75&amp;"")&lt;&gt;"—",ISNUMBER(E75),LEN(TRIM(F75&amp;""))&gt;0,TRIM(F75&amp;"")&lt;&gt;"—",LEN(TRIM(G75&amp;""))&gt;0,TRIM(G75&amp;"")&lt;&gt;"—",LEN(TRIM(I75&amp;""))&gt;0,TRIM(I75&amp;"")&lt;&gt;"—",LEN(TRIM(J75&amp;""))&gt;0,TRIM(J75&amp;"")&lt;&gt;"—"),"PASS","⚠ FAIL — "&amp;"a required cell is empty/placeholder or wrong type")</f>
        <v>PASS</v>
      </c>
    </row>
    <row r="76" customFormat="false" ht="15" hidden="false" customHeight="false" outlineLevel="0" collapsed="false">
      <c r="A76" s="68" t="s">
        <v>1875</v>
      </c>
      <c r="B76" s="68" t="str">
        <f aca="false">'Part names'!$B$85</f>
        <v>SCADA / Plant Control System</v>
      </c>
      <c r="C76" s="68" t="n">
        <v>1</v>
      </c>
      <c r="D76" s="68" t="n">
        <v>0.5</v>
      </c>
      <c r="E76" s="68" t="n">
        <v>0.9</v>
      </c>
      <c r="F76" s="68" t="s">
        <v>1853</v>
      </c>
      <c r="G76" s="68" t="s">
        <v>1854</v>
      </c>
      <c r="H76" s="68" t="n">
        <v>3.3</v>
      </c>
      <c r="I76" s="68" t="n">
        <v>0.019</v>
      </c>
      <c r="J76" s="69" t="str">
        <f aca="false">IF(ISNUMBER(I76),IF(I76&lt;='Audit data'!$D$12,"✓","✗"),"✗")</f>
        <v>✓</v>
      </c>
      <c r="K76" s="69" t="str">
        <f aca="false">IF(AND(LEN(TRIM($A76&amp;""))&gt;0,LEN(TRIM(D76&amp;""))&gt;0,ISNUMBER(D76),D76&gt;0,ISNUMBER(E76),E76&gt;0,IF(AND(ISNUMBER(D76),ISNUMBER(E76),E76&gt;0),AND((D76*1000)/('Audit data'!$D$14*'Audit data'!$D$13*E76)&gt;=0.6,(D76*1000)/('Audit data'!$D$14*'Audit data'!$D$13*E76)&lt;=1.05),FALSE()),IF(AND(ISNUMBER(L76),ISNUMBER(E76)),L76&gt;=E76,FALSE()),ISNUMBER(SEARCH("mm",G76&amp;"")),IF(AND(ISNUMBER(M76),ISNUMBER(L76)),L76&lt;=M76,TRUE()),ISNUMBER(H76),H76&gt;0,J76="✓",LEN(TRIM(N76&amp;""))=0),"PASS","FAIL — "&amp;IF(LEN(TRIM(N76&amp;""))&gt;0,TRIM(N76&amp;""),"a circuit cell is missing/non-numeric, I inconsistent with kW at the board voltage, device/cable rating out of order, o…"))</f>
        <v>PASS</v>
      </c>
      <c r="L76" s="84" t="n">
        <v>6</v>
      </c>
      <c r="M76" s="84" t="n">
        <v>20</v>
      </c>
      <c r="N76" s="70"/>
      <c r="Q76" s="16" t="str">
        <f aca="false">IF(AND(LEN(TRIM(A76&amp;""))&gt;0,TRIM(A76&amp;"")&lt;&gt;"—",LEN(TRIM(B76&amp;""))&gt;0,TRIM(B76&amp;"")&lt;&gt;"—",LEN(TRIM(D76&amp;""))&gt;0,TRIM(D76&amp;"")&lt;&gt;"—",ISNUMBER(D76),LEN(TRIM(E76&amp;""))&gt;0,TRIM(E76&amp;"")&lt;&gt;"—",ISNUMBER(E76),LEN(TRIM(F76&amp;""))&gt;0,TRIM(F76&amp;"")&lt;&gt;"—",LEN(TRIM(G76&amp;""))&gt;0,TRIM(G76&amp;"")&lt;&gt;"—",LEN(TRIM(I76&amp;""))&gt;0,TRIM(I76&amp;"")&lt;&gt;"—",LEN(TRIM(J76&amp;""))&gt;0,TRIM(J76&amp;"")&lt;&gt;"—"),"PASS","⚠ FAIL — "&amp;"a required cell is empty/placeholder or wrong type")</f>
        <v>PASS</v>
      </c>
    </row>
    <row r="77" customFormat="false" ht="15" hidden="false" customHeight="false" outlineLevel="0" collapsed="false">
      <c r="A77" s="68" t="s">
        <v>1876</v>
      </c>
      <c r="B77" s="68" t="str">
        <f aca="false">'Part names'!$B$28</f>
        <v>Electrical Control Cabinet</v>
      </c>
      <c r="C77" s="68" t="n">
        <v>1</v>
      </c>
      <c r="D77" s="68" t="n">
        <v>0.2</v>
      </c>
      <c r="E77" s="68" t="n">
        <v>0.4</v>
      </c>
      <c r="F77" s="68" t="s">
        <v>1853</v>
      </c>
      <c r="G77" s="68" t="s">
        <v>1854</v>
      </c>
      <c r="H77" s="68" t="n">
        <v>28</v>
      </c>
      <c r="I77" s="68" t="n">
        <v>0.073</v>
      </c>
      <c r="J77" s="69" t="str">
        <f aca="false">IF(ISNUMBER(I77),IF(I77&lt;='Audit data'!$D$12,"✓","✗"),"✗")</f>
        <v>✓</v>
      </c>
      <c r="K77" s="69" t="str">
        <f aca="false">IF(AND(LEN(TRIM($A77&amp;""))&gt;0,LEN(TRIM(D77&amp;""))&gt;0,ISNUMBER(D77),D77&gt;0,ISNUMBER(E77),E77&gt;0,IF(AND(ISNUMBER(D77),ISNUMBER(E77),E77&gt;0),AND((D77*1000)/('Audit data'!$D$14*'Audit data'!$D$13*E77)&gt;=0.6,(D77*1000)/('Audit data'!$D$14*'Audit data'!$D$13*E77)&lt;=1.05),FALSE()),IF(AND(ISNUMBER(L77),ISNUMBER(E77)),L77&gt;=E77,FALSE()),ISNUMBER(SEARCH("mm",G77&amp;"")),IF(AND(ISNUMBER(M77),ISNUMBER(L77)),L77&lt;=M77,TRUE()),ISNUMBER(H77),H77&gt;0,J77="✓",LEN(TRIM(N77&amp;""))=0),"PASS","FAIL — "&amp;IF(LEN(TRIM(N77&amp;""))&gt;0,TRIM(N77&amp;""),"a circuit cell is missing/non-numeric, I inconsistent with kW at the board voltage, device/cable rating out of order, o…"))</f>
        <v>PASS</v>
      </c>
      <c r="L77" s="84" t="n">
        <v>6</v>
      </c>
      <c r="M77" s="84" t="n">
        <v>20</v>
      </c>
      <c r="N77" s="70"/>
      <c r="Q77" s="16" t="str">
        <f aca="false">IF(AND(LEN(TRIM(A77&amp;""))&gt;0,TRIM(A77&amp;"")&lt;&gt;"—",LEN(TRIM(B77&amp;""))&gt;0,TRIM(B77&amp;"")&lt;&gt;"—",LEN(TRIM(D77&amp;""))&gt;0,TRIM(D77&amp;"")&lt;&gt;"—",ISNUMBER(D77),LEN(TRIM(E77&amp;""))&gt;0,TRIM(E77&amp;"")&lt;&gt;"—",ISNUMBER(E77),LEN(TRIM(F77&amp;""))&gt;0,TRIM(F77&amp;"")&lt;&gt;"—",LEN(TRIM(G77&amp;""))&gt;0,TRIM(G77&amp;"")&lt;&gt;"—",LEN(TRIM(I77&amp;""))&gt;0,TRIM(I77&amp;"")&lt;&gt;"—",LEN(TRIM(J77&amp;""))&gt;0,TRIM(J77&amp;"")&lt;&gt;"—"),"PASS","⚠ FAIL — "&amp;"a required cell is empty/placeholder or wrong type")</f>
        <v>PASS</v>
      </c>
    </row>
    <row r="78" customFormat="false" ht="28.5" hidden="false" customHeight="true" outlineLevel="0" collapsed="false">
      <c r="A78" s="68" t="s">
        <v>1877</v>
      </c>
      <c r="B78" s="68" t="s">
        <v>1878</v>
      </c>
      <c r="C78" s="68" t="n">
        <v>1</v>
      </c>
      <c r="D78" s="68" t="n">
        <v>0.2</v>
      </c>
      <c r="E78" s="68" t="n">
        <v>0.4</v>
      </c>
      <c r="F78" s="68" t="s">
        <v>1853</v>
      </c>
      <c r="G78" s="68" t="s">
        <v>1854</v>
      </c>
      <c r="H78" s="68" t="n">
        <v>3.8</v>
      </c>
      <c r="I78" s="68" t="n">
        <v>0.01</v>
      </c>
      <c r="J78" s="69" t="str">
        <f aca="false">IF(ISNUMBER(I78),IF(I78&lt;='Audit data'!$D$12,"✓","✗"),"✗")</f>
        <v>✓</v>
      </c>
      <c r="K78" s="69" t="str">
        <f aca="false">IF(AND(LEN(TRIM($A78&amp;""))&gt;0,LEN(TRIM(D78&amp;""))&gt;0,ISNUMBER(D78),D78&gt;0,ISNUMBER(E78),E78&gt;0,IF(AND(ISNUMBER(D78),ISNUMBER(E78),E78&gt;0),AND((D78*1000)/('Audit data'!$D$14*'Audit data'!$D$13*E78)&gt;=0.6,(D78*1000)/('Audit data'!$D$14*'Audit data'!$D$13*E78)&lt;=1.05),FALSE()),IF(AND(ISNUMBER(L78),ISNUMBER(E78)),L78&gt;=E78,FALSE()),ISNUMBER(SEARCH("mm",G78&amp;"")),IF(AND(ISNUMBER(M78),ISNUMBER(L78)),L78&lt;=M78,TRUE()),ISNUMBER(H78),H78&gt;0,J78="✓",LEN(TRIM(N78&amp;""))=0),"PASS","FAIL — "&amp;IF(LEN(TRIM(N78&amp;""))&gt;0,TRIM(N78&amp;""),"a circuit cell is missing/non-numeric, I inconsistent with kW at the board voltage, device/cable rating out of order, o…"))</f>
        <v>PASS</v>
      </c>
      <c r="L78" s="84" t="n">
        <v>6</v>
      </c>
      <c r="M78" s="84" t="n">
        <v>20</v>
      </c>
      <c r="N78" s="70"/>
      <c r="Q78" s="16" t="str">
        <f aca="false">IF(AND(LEN(TRIM(A78&amp;""))&gt;0,TRIM(A78&amp;"")&lt;&gt;"—",LEN(TRIM(B78&amp;""))&gt;0,TRIM(B78&amp;"")&lt;&gt;"—",LEN(TRIM(D78&amp;""))&gt;0,TRIM(D78&amp;"")&lt;&gt;"—",ISNUMBER(D78),LEN(TRIM(E78&amp;""))&gt;0,TRIM(E78&amp;"")&lt;&gt;"—",ISNUMBER(E78),LEN(TRIM(F78&amp;""))&gt;0,TRIM(F78&amp;"")&lt;&gt;"—",LEN(TRIM(G78&amp;""))&gt;0,TRIM(G78&amp;"")&lt;&gt;"—",LEN(TRIM(I78&amp;""))&gt;0,TRIM(I78&amp;"")&lt;&gt;"—",LEN(TRIM(J78&amp;""))&gt;0,TRIM(J78&amp;"")&lt;&gt;"—"),"PASS","⚠ FAIL — "&amp;"a required cell is empty/placeholder or wrong type")</f>
        <v>PASS</v>
      </c>
    </row>
    <row r="79" customFormat="false" ht="15" hidden="false" customHeight="false" outlineLevel="0" collapsed="false">
      <c r="A79" s="68"/>
      <c r="B79" s="68" t="s">
        <v>1879</v>
      </c>
      <c r="C79" s="68"/>
      <c r="D79" s="68" t="s">
        <v>1835</v>
      </c>
      <c r="E79" s="68" t="s">
        <v>1837</v>
      </c>
      <c r="F79" s="68"/>
      <c r="G79" s="68"/>
      <c r="H79" s="68"/>
      <c r="I79" s="68"/>
      <c r="J79" s="85"/>
    </row>
    <row r="81" customFormat="false" ht="15" hidden="false" customHeight="false" outlineLevel="0" collapsed="false">
      <c r="A81" s="8" t="s">
        <v>1880</v>
      </c>
      <c r="B81" s="8"/>
    </row>
    <row r="82" customFormat="false" ht="15" hidden="false" customHeight="false" outlineLevel="0" collapsed="false">
      <c r="A82" s="9" t="s">
        <v>1822</v>
      </c>
      <c r="B82" s="9" t="s">
        <v>160</v>
      </c>
      <c r="C82" s="10" t="s">
        <v>20</v>
      </c>
    </row>
    <row r="83" customFormat="false" ht="28.5" hidden="false" customHeight="true" outlineLevel="0" collapsed="false">
      <c r="A83" s="68" t="s">
        <v>1823</v>
      </c>
      <c r="B83" s="68" t="str">
        <f aca="false">'Part names'!$B$53</f>
        <v>Main Switchboard</v>
      </c>
      <c r="C83" s="16" t="str">
        <f aca="false">IF(AND(LEN(TRIM(A83&amp;""))&gt;0,TRIM(A83&amp;"")&lt;&gt;"—",LEN(TRIM(B83&amp;""))&gt;0,TRIM(B83&amp;"")&lt;&gt;"—"),"PASS","⚠ FAIL — "&amp;"a required cell is empty/placeholder or wrong type")</f>
        <v>PASS</v>
      </c>
    </row>
    <row r="84" customFormat="false" ht="15" hidden="false" customHeight="false" outlineLevel="0" collapsed="false">
      <c r="A84" s="68" t="s">
        <v>1824</v>
      </c>
      <c r="B84" s="68" t="s">
        <v>1881</v>
      </c>
      <c r="C84" s="16" t="str">
        <f aca="false">IF(AND(LEN(TRIM(A84&amp;""))&gt;0,TRIM(A84&amp;"")&lt;&gt;"—",LEN(TRIM(B84&amp;""))&gt;0,TRIM(B84&amp;"")&lt;&gt;"—"),"PASS","⚠ FAIL — "&amp;"a required cell is empty/placeholder or wrong type")</f>
        <v>PASS</v>
      </c>
    </row>
    <row r="85" customFormat="false" ht="28.5" hidden="false" customHeight="true" outlineLevel="0" collapsed="false">
      <c r="A85" s="68" t="s">
        <v>1826</v>
      </c>
      <c r="B85" s="68" t="s">
        <v>1882</v>
      </c>
      <c r="C85" s="16" t="str">
        <f aca="false">IF(AND(LEN(TRIM(A85&amp;""))&gt;0,TRIM(A85&amp;"")&lt;&gt;"—",LEN(TRIM(B85&amp;""))&gt;0,TRIM(B85&amp;"")&lt;&gt;"—"),"PASS","⚠ FAIL — "&amp;"a required cell is empty/placeholder or wrong type")</f>
        <v>PASS</v>
      </c>
    </row>
    <row r="86" customFormat="false" ht="15" hidden="false" customHeight="false" outlineLevel="0" collapsed="false">
      <c r="A86" s="68" t="s">
        <v>1828</v>
      </c>
      <c r="B86" s="68" t="s">
        <v>1829</v>
      </c>
      <c r="C86" s="16" t="str">
        <f aca="false">IF(AND(LEN(TRIM(A86&amp;""))&gt;0,TRIM(A86&amp;"")&lt;&gt;"—",LEN(TRIM(B86&amp;""))&gt;0,TRIM(B86&amp;"")&lt;&gt;"—"),"PASS","⚠ FAIL — "&amp;"a required cell is empty/placeholder or wrong type")</f>
        <v>PASS</v>
      </c>
    </row>
    <row r="87" customFormat="false" ht="15" hidden="false" customHeight="false" outlineLevel="0" collapsed="false">
      <c r="A87" s="68" t="s">
        <v>1830</v>
      </c>
      <c r="B87" s="68" t="s">
        <v>1883</v>
      </c>
      <c r="C87" s="16" t="str">
        <f aca="false">IF(AND(LEN(TRIM(A87&amp;""))&gt;0,TRIM(A87&amp;"")&lt;&gt;"—",LEN(TRIM(B87&amp;""))&gt;0,TRIM(B87&amp;"")&lt;&gt;"—"),"PASS","⚠ FAIL — "&amp;"a required cell is empty/placeholder or wrong type")</f>
        <v>PASS</v>
      </c>
    </row>
    <row r="88" customFormat="false" ht="28.5" hidden="false" customHeight="true" outlineLevel="0" collapsed="false">
      <c r="A88" s="68" t="s">
        <v>1832</v>
      </c>
      <c r="B88" s="68" t="s">
        <v>1884</v>
      </c>
      <c r="C88" s="16" t="str">
        <f aca="false">IF(AND(LEN(TRIM(A88&amp;""))&gt;0,TRIM(A88&amp;"")&lt;&gt;"—",LEN(TRIM(B88&amp;""))&gt;0,TRIM(B88&amp;"")&lt;&gt;"—"),"PASS","⚠ FAIL — "&amp;"a required cell is empty/placeholder or wrong type")</f>
        <v>PASS</v>
      </c>
    </row>
    <row r="89" customFormat="false" ht="28.5" hidden="false" customHeight="true" outlineLevel="0" collapsed="false">
      <c r="A89" s="68" t="s">
        <v>1834</v>
      </c>
      <c r="B89" s="68" t="s">
        <v>1885</v>
      </c>
    </row>
    <row r="90" customFormat="false" ht="28.5" hidden="false" customHeight="true" outlineLevel="0" collapsed="false">
      <c r="A90" s="68" t="s">
        <v>1836</v>
      </c>
      <c r="B90" s="68" t="s">
        <v>1886</v>
      </c>
      <c r="C90" s="16" t="str">
        <f aca="false">IF(AND(LEN(TRIM(A90&amp;""))&gt;0,TRIM(A90&amp;"")&lt;&gt;"—",LEN(TRIM(B90&amp;""))&gt;0,TRIM(B90&amp;"")&lt;&gt;"—"),"PASS","⚠ FAIL — "&amp;"a required cell is empty/placeholder or wrong type")</f>
        <v>PASS</v>
      </c>
    </row>
    <row r="92" customFormat="false" ht="15" hidden="false" customHeight="false" outlineLevel="0" collapsed="false">
      <c r="A92" s="8" t="s">
        <v>1880</v>
      </c>
      <c r="B92" s="8"/>
      <c r="C92" s="8"/>
      <c r="D92" s="8"/>
      <c r="E92" s="8"/>
      <c r="F92" s="8"/>
      <c r="G92" s="8"/>
      <c r="H92" s="8"/>
      <c r="I92" s="8"/>
      <c r="J92" s="8"/>
    </row>
    <row r="93" customFormat="false" ht="15" hidden="false" customHeight="false" outlineLevel="0" collapsed="false">
      <c r="A93" s="9" t="s">
        <v>1838</v>
      </c>
      <c r="B93" s="9" t="s">
        <v>1839</v>
      </c>
      <c r="C93" s="9" t="s">
        <v>1840</v>
      </c>
      <c r="D93" s="9" t="s">
        <v>1841</v>
      </c>
      <c r="E93" s="9" t="s">
        <v>1842</v>
      </c>
      <c r="F93" s="9" t="s">
        <v>1843</v>
      </c>
      <c r="G93" s="9" t="s">
        <v>1844</v>
      </c>
      <c r="H93" s="9" t="s">
        <v>1845</v>
      </c>
      <c r="I93" s="9" t="s">
        <v>1846</v>
      </c>
      <c r="J93" s="9" t="s">
        <v>1847</v>
      </c>
      <c r="K93" s="89" t="s">
        <v>419</v>
      </c>
      <c r="L93" s="90" t="s">
        <v>1848</v>
      </c>
      <c r="M93" s="90" t="s">
        <v>1849</v>
      </c>
      <c r="N93" s="90" t="s">
        <v>420</v>
      </c>
      <c r="O93" s="90" t="s">
        <v>1850</v>
      </c>
      <c r="P93" s="90" t="s">
        <v>1851</v>
      </c>
      <c r="Q93" s="10" t="s">
        <v>20</v>
      </c>
    </row>
    <row r="94" customFormat="false" ht="15" hidden="false" customHeight="false" outlineLevel="0" collapsed="false">
      <c r="A94" s="68" t="s">
        <v>1852</v>
      </c>
      <c r="B94" s="68" t="str">
        <f aca="false">'Part names'!$B$61</f>
        <v>Motor Control Center</v>
      </c>
      <c r="C94" s="68" t="n">
        <v>1</v>
      </c>
      <c r="D94" s="68" t="n">
        <v>9.7</v>
      </c>
      <c r="E94" s="68" t="n">
        <v>18.3</v>
      </c>
      <c r="F94" s="68" t="s">
        <v>1868</v>
      </c>
      <c r="G94" s="68" t="s">
        <v>1854</v>
      </c>
      <c r="H94" s="68" t="n">
        <v>20</v>
      </c>
      <c r="I94" s="68" t="n">
        <v>2.377</v>
      </c>
      <c r="J94" s="69" t="str">
        <f aca="false">IF(ISNUMBER(I94),IF(I94&lt;='Audit data'!$D$12,"✓","✗"),"✗")</f>
        <v>✓</v>
      </c>
      <c r="K94" s="69" t="str">
        <f aca="false">IF(AND(LEN(TRIM($A94&amp;""))&gt;0,LEN(TRIM(D94&amp;""))&gt;0,ISNUMBER(D94),D94&gt;0,ISNUMBER(E94),E94&gt;0,IF(AND(ISNUMBER(D94),ISNUMBER(E94),E94&gt;0),AND((D94*1000)/('Audit data'!$D$16*'Audit data'!$D$15*E94)&gt;=0.6,(D94*1000)/('Audit data'!$D$16*'Audit data'!$D$15*E94)&lt;=1.05),FALSE()),IF(AND(ISNUMBER(L94),ISNUMBER(E94)),L94&gt;=E94,FALSE()),ISNUMBER(SEARCH("mm",G94&amp;"")),IF(AND(ISNUMBER(M94),ISNUMBER(L94)),L94&lt;=M94,TRUE()),ISNUMBER(H94),H94&gt;0,J94="✓",LEN(TRIM(N94&amp;""))=0),"PASS","FAIL — "&amp;IF(LEN(TRIM(N94&amp;""))&gt;0,TRIM(N94&amp;""),"a circuit cell is missing/non-numeric, I inconsistent with kW at the board voltage, device/cable rating out of order, o…"))</f>
        <v>PASS</v>
      </c>
      <c r="L94" s="84" t="n">
        <v>20</v>
      </c>
      <c r="M94" s="84" t="n">
        <v>20</v>
      </c>
      <c r="N94" s="70"/>
      <c r="Q94" s="16" t="str">
        <f aca="false">IF(AND(LEN(TRIM(A94&amp;""))&gt;0,TRIM(A94&amp;"")&lt;&gt;"—",LEN(TRIM(B94&amp;""))&gt;0,TRIM(B94&amp;"")&lt;&gt;"—",LEN(TRIM(D94&amp;""))&gt;0,TRIM(D94&amp;"")&lt;&gt;"—",ISNUMBER(D94),LEN(TRIM(E94&amp;""))&gt;0,TRIM(E94&amp;"")&lt;&gt;"—",ISNUMBER(E94),LEN(TRIM(F94&amp;""))&gt;0,TRIM(F94&amp;"")&lt;&gt;"—",LEN(TRIM(G94&amp;""))&gt;0,TRIM(G94&amp;"")&lt;&gt;"—",LEN(TRIM(I94&amp;""))&gt;0,TRIM(I94&amp;"")&lt;&gt;"—",LEN(TRIM(J94&amp;""))&gt;0,TRIM(J94&amp;"")&lt;&gt;"—"),"PASS","⚠ FAIL — "&amp;"a required cell is empty/placeholder or wrong type")</f>
        <v>PASS</v>
      </c>
    </row>
    <row r="95" customFormat="false" ht="15" hidden="false" customHeight="false" outlineLevel="0" collapsed="false">
      <c r="A95" s="68"/>
      <c r="B95" s="68" t="s">
        <v>1879</v>
      </c>
      <c r="C95" s="68"/>
      <c r="D95" s="68" t="s">
        <v>1885</v>
      </c>
      <c r="E95" s="68" t="s">
        <v>1886</v>
      </c>
      <c r="F95" s="68"/>
      <c r="G95" s="68"/>
      <c r="H95" s="68"/>
      <c r="I95" s="68"/>
      <c r="J95" s="68"/>
    </row>
    <row r="97" customFormat="false" ht="15" hidden="false" customHeight="false" outlineLevel="0" collapsed="false">
      <c r="A97" s="8" t="s">
        <v>1887</v>
      </c>
      <c r="B97" s="8"/>
      <c r="C97" s="8"/>
      <c r="D97" s="8"/>
      <c r="E97" s="8"/>
      <c r="F97" s="8"/>
      <c r="G97" s="8"/>
      <c r="H97" s="8"/>
      <c r="I97" s="8"/>
      <c r="J97" s="8"/>
      <c r="K97" s="8"/>
    </row>
    <row r="98" customFormat="false" ht="23.85" hidden="false" customHeight="false" outlineLevel="0" collapsed="false">
      <c r="A98" s="9" t="s">
        <v>1888</v>
      </c>
      <c r="B98" s="9" t="s">
        <v>1889</v>
      </c>
      <c r="C98" s="9"/>
      <c r="D98" s="9"/>
      <c r="E98" s="9"/>
      <c r="F98" s="9"/>
      <c r="G98" s="9"/>
      <c r="H98" s="9"/>
      <c r="I98" s="9"/>
      <c r="J98" s="9" t="s">
        <v>419</v>
      </c>
      <c r="K98" s="9"/>
      <c r="L98" s="10" t="s">
        <v>20</v>
      </c>
    </row>
    <row r="99" customFormat="false" ht="15" hidden="false" customHeight="true" outlineLevel="0" collapsed="false">
      <c r="A99" s="11" t="s">
        <v>1890</v>
      </c>
      <c r="B99" s="85" t="s">
        <v>1891</v>
      </c>
      <c r="C99" s="85"/>
      <c r="D99" s="85"/>
      <c r="E99" s="85"/>
      <c r="F99" s="85"/>
      <c r="G99" s="85"/>
      <c r="H99" s="85"/>
      <c r="I99" s="85"/>
      <c r="J99" s="69" t="str">
        <f aca="false">IF(AND(LEN(TRIM($A99&amp;""))&gt;0,LEN(TRIM($B99&amp;""))&gt;0,'Audit data'!$D$18="OK",ISNUMBER('Audit data'!$D$17),'Audit data'!$D$17&gt;=0.8,'Audit data'!$D$17&lt;=1.25,LEN(TRIM('Audit data'!$D$19&amp;""))&gt;0,TRIM('Audit data'!$D$19&amp;"")&lt;&gt;"—",LEN(TRIM('Audit data'!$D$20&amp;""))=0),"PASS","FAIL — "&amp;IF(LEN(TRIM('Audit data'!$D$20&amp;""))&gt;0,TRIM('Audit data'!$D$20&amp;""),"board reconciliation out of band / busbar rating missing"))</f>
        <v>PASS</v>
      </c>
      <c r="K99" s="69"/>
      <c r="L99" s="16" t="str">
        <f aca="false">IF(AND(LEN(TRIM(A99&amp;""))&gt;0,TRIM(A99&amp;"")&lt;&gt;"—",LEN(TRIM(B99&amp;""))&gt;0,TRIM(B99&amp;"")&lt;&gt;"—",LEN(TRIM(J99&amp;""))&gt;0,TRIM(J99&amp;"")&lt;&gt;"—"),"PASS","⚠ FAIL — "&amp;"a required cell is empty/placeholder or wrong type")</f>
        <v>PASS</v>
      </c>
    </row>
    <row r="100" customFormat="false" ht="15" hidden="false" customHeight="true" outlineLevel="0" collapsed="false">
      <c r="A100" s="11" t="s">
        <v>1892</v>
      </c>
      <c r="B100" s="85" t="s">
        <v>1893</v>
      </c>
      <c r="C100" s="85"/>
      <c r="D100" s="85"/>
      <c r="E100" s="85"/>
      <c r="F100" s="85"/>
      <c r="G100" s="85"/>
      <c r="H100" s="85"/>
      <c r="I100" s="85"/>
      <c r="J100" s="69" t="str">
        <f aca="false">IF(AND(LEN(TRIM($A100&amp;""))&gt;0,LEN(TRIM($B100&amp;""))&gt;0,'Audit data'!$D$22="OK",ISNUMBER('Audit data'!$D$21),'Audit data'!$D$21&gt;=0.8,'Audit data'!$D$21&lt;=1.25,LEN(TRIM('Audit data'!$D$23&amp;""))&gt;0,TRIM('Audit data'!$D$23&amp;"")&lt;&gt;"—",LEN(TRIM('Audit data'!$D$24&amp;""))=0),"PASS","FAIL — "&amp;IF(LEN(TRIM('Audit data'!$D$24&amp;""))&gt;0,TRIM('Audit data'!$D$24&amp;""),"board reconciliation out of band / busbar rating missing"))</f>
        <v>PASS</v>
      </c>
      <c r="K100" s="69"/>
      <c r="L100" s="16" t="str">
        <f aca="false">IF(AND(LEN(TRIM(A100&amp;""))&gt;0,TRIM(A100&amp;"")&lt;&gt;"—",LEN(TRIM(B100&amp;""))&gt;0,TRIM(B100&amp;"")&lt;&gt;"—",LEN(TRIM(J100&amp;""))&gt;0,TRIM(J100&amp;"")&lt;&gt;"—"),"PASS","⚠ FAIL — "&amp;"a required cell is empty/placeholder or wrong type")</f>
        <v>PASS</v>
      </c>
    </row>
    <row r="101" customFormat="false" ht="15" hidden="false" customHeight="true" outlineLevel="0" collapsed="false">
      <c r="A101" s="11" t="s">
        <v>1894</v>
      </c>
      <c r="B101" s="85" t="s">
        <v>1895</v>
      </c>
      <c r="C101" s="85"/>
      <c r="D101" s="85"/>
      <c r="E101" s="85"/>
      <c r="F101" s="85"/>
      <c r="G101" s="85"/>
      <c r="H101" s="85"/>
      <c r="I101" s="85"/>
      <c r="J101" s="69" t="str">
        <f aca="false">IF(AND(LEN(TRIM($A101&amp;""))&gt;0,LEN(TRIM($B101&amp;""))&gt;0,ISNUMBER(SEARCH(" "&amp;'Audit data'!$D$25&amp;" "," "&amp;'Audit data'!$D$26&amp;" "))),"PASS","FAIL — "&amp;"the drawing never states the schedule's "&amp;'Audit data'!$D$25&amp;" V system voltage")</f>
        <v>PASS</v>
      </c>
      <c r="K101" s="69"/>
      <c r="L101" s="16" t="str">
        <f aca="false">IF(AND(LEN(TRIM(A101&amp;""))&gt;0,TRIM(A101&amp;"")&lt;&gt;"—",LEN(TRIM(B101&amp;""))&gt;0,TRIM(B101&amp;"")&lt;&gt;"—",LEN(TRIM(J101&amp;""))&gt;0,TRIM(J101&amp;"")&lt;&gt;"—"),"PASS","⚠ FAIL — "&amp;"a required cell is empty/placeholder or wrong type")</f>
        <v>PASS</v>
      </c>
    </row>
    <row r="102" customFormat="false" ht="30" hidden="false" customHeight="true" outlineLevel="0" collapsed="false">
      <c r="A102" s="11" t="s">
        <v>1896</v>
      </c>
      <c r="B102" s="85" t="s">
        <v>1897</v>
      </c>
      <c r="C102" s="85"/>
      <c r="D102" s="85"/>
      <c r="E102" s="85"/>
      <c r="F102" s="85"/>
      <c r="G102" s="85"/>
      <c r="H102" s="85"/>
      <c r="I102" s="85"/>
      <c r="J102" s="91" t="str">
        <f aca="false">IF(AND(LEN(TRIM($A102&amp;""))&gt;0,LEN(TRIM($B102&amp;""))&gt;0,LEN(TRIM('Audit data'!$D$27&amp;""))=0),"PASS","FAIL — "&amp;"board reference(s) absent from the single-line drawing: "&amp;'Audit data'!$D$27)</f>
        <v>FAIL — board reference(s) absent from the single-line drawing: MAIN DISTRIBUTION BOARD (TP&amp;N)</v>
      </c>
      <c r="K102" s="91"/>
      <c r="L102" s="16" t="str">
        <f aca="false">IF(AND(LEN(TRIM(A102&amp;""))&gt;0,TRIM(A102&amp;"")&lt;&gt;"—",LEN(TRIM(B102&amp;""))&gt;0,TRIM(B102&amp;"")&lt;&gt;"—",LEN(TRIM(J102&amp;""))&gt;0,TRIM(J102&amp;"")&lt;&gt;"—"),"PASS","⚠ FAIL — "&amp;"a required cell is empty/placeholder or wrong type")</f>
        <v>PASS</v>
      </c>
    </row>
    <row r="103" customFormat="false" ht="15" hidden="false" customHeight="true" outlineLevel="0" collapsed="false">
      <c r="A103" s="11" t="s">
        <v>1898</v>
      </c>
      <c r="B103" s="85" t="s">
        <v>1899</v>
      </c>
      <c r="C103" s="85"/>
      <c r="D103" s="85"/>
      <c r="E103" s="85"/>
      <c r="F103" s="85"/>
      <c r="G103" s="85"/>
      <c r="H103" s="85"/>
      <c r="I103" s="85"/>
      <c r="J103" s="69" t="str">
        <f aca="false">IF(AND(LEN(TRIM($A103&amp;""))&gt;0,LEN(TRIM($B103&amp;""))&gt;0,ISNUMBER('Audit data'!$D$29),ISNUMBER('Audit data'!$D$30),ABS('Audit data'!$D$29-'Audit data'!$D$30)&lt;=0.1*'Audit data'!$D$30),"PASS","FAIL — "&amp;"transformer kVA mismatch: drawing "&amp;'Audit data'!$D$29&amp;" vs contract "&amp;'Audit data'!$D$30&amp;" (must match within 10% — one dataset)")</f>
        <v>PASS</v>
      </c>
      <c r="K103" s="69"/>
      <c r="L103" s="16" t="str">
        <f aca="false">IF(AND(LEN(TRIM(A103&amp;""))&gt;0,TRIM(A103&amp;"")&lt;&gt;"—",LEN(TRIM(B103&amp;""))&gt;0,TRIM(B103&amp;"")&lt;&gt;"—",LEN(TRIM(J103&amp;""))&gt;0,TRIM(J103&amp;"")&lt;&gt;"—"),"PASS","⚠ FAIL — "&amp;"a required cell is empty/placeholder or wrong type")</f>
        <v>PASS</v>
      </c>
    </row>
  </sheetData>
  <autoFilter ref="A93:J95"/>
  <mergeCells count="22">
    <mergeCell ref="A1:K1"/>
    <mergeCell ref="A2:K2"/>
    <mergeCell ref="A3:K3"/>
    <mergeCell ref="A5:K5"/>
    <mergeCell ref="A44:K44"/>
    <mergeCell ref="A46:K46"/>
    <mergeCell ref="A47:K47"/>
    <mergeCell ref="A49:B49"/>
    <mergeCell ref="A60:J60"/>
    <mergeCell ref="A81:B81"/>
    <mergeCell ref="A92:J92"/>
    <mergeCell ref="A97:K97"/>
    <mergeCell ref="B99:I99"/>
    <mergeCell ref="J99:K99"/>
    <mergeCell ref="B100:I100"/>
    <mergeCell ref="J100:K100"/>
    <mergeCell ref="B101:I101"/>
    <mergeCell ref="J101:K101"/>
    <mergeCell ref="B102:I102"/>
    <mergeCell ref="J102:K102"/>
    <mergeCell ref="B103:I103"/>
    <mergeCell ref="J103:K103"/>
  </mergeCells>
  <conditionalFormatting sqref="J62:J79">
    <cfRule type="cellIs" priority="2" operator="equal" aboveAverage="0" equalAverage="0" bottom="0" percent="0" rank="0" text="" dxfId="0">
      <formula>"✗"</formula>
    </cfRule>
    <cfRule type="cellIs" priority="3" operator="equal" aboveAverage="0" equalAverage="0" bottom="0" percent="0" rank="0" text="" dxfId="1">
      <formula>"✓"</formula>
    </cfRule>
  </conditionalFormatting>
  <conditionalFormatting sqref="K62:K79">
    <cfRule type="cellIs" priority="4" operator="equal" aboveAverage="0" equalAverage="0" bottom="0" percent="0" rank="0" text="" dxfId="1">
      <formula>"PASS"</formula>
    </cfRule>
  </conditionalFormatting>
  <conditionalFormatting sqref="J94:J95">
    <cfRule type="cellIs" priority="5" operator="equal" aboveAverage="0" equalAverage="0" bottom="0" percent="0" rank="0" text="" dxfId="0">
      <formula>"✗"</formula>
    </cfRule>
    <cfRule type="cellIs" priority="6" operator="equal" aboveAverage="0" equalAverage="0" bottom="0" percent="0" rank="0" text="" dxfId="1">
      <formula>"✓"</formula>
    </cfRule>
  </conditionalFormatting>
  <conditionalFormatting sqref="K94:K95">
    <cfRule type="cellIs" priority="7" operator="equal" aboveAverage="0" equalAverage="0" bottom="0" percent="0" rank="0" text="" dxfId="1">
      <formula>"PASS"</formula>
    </cfRule>
  </conditionalFormatting>
  <conditionalFormatting sqref="J99:J103">
    <cfRule type="cellIs" priority="8" operator="equal" aboveAverage="0" equalAverage="0" bottom="0" percent="0" rank="0" text="" dxfId="1">
      <formula>"PASS"</formula>
    </cfRule>
  </conditionalFormatting>
  <hyperlinks>
    <hyperlink ref="L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O9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15"/>
    <col collapsed="false" customWidth="true" hidden="false" outlineLevel="0" max="3" min="2" style="0" width="22"/>
    <col collapsed="false" customWidth="true" hidden="false" outlineLevel="0" max="5" min="4" style="0" width="16"/>
    <col collapsed="false" customWidth="true" hidden="false" outlineLevel="0" max="6" min="6" style="0" width="14"/>
    <col collapsed="false" customWidth="true" hidden="false" outlineLevel="0" max="7" min="7" style="0" width="16"/>
    <col collapsed="false" customWidth="true" hidden="false" outlineLevel="0" max="8" min="8" style="0" width="10"/>
    <col collapsed="false" customWidth="true" hidden="false" outlineLevel="0" max="9" min="9" style="0" width="9"/>
    <col collapsed="false" customWidth="true" hidden="false" outlineLevel="0" max="10" min="10" style="0" width="13"/>
    <col collapsed="false" customWidth="true" hidden="false" outlineLevel="0" max="11" min="11" style="0" width="62"/>
    <col collapsed="false" customWidth="true" hidden="false" outlineLevel="0" max="12" min="12" style="0" width="52"/>
    <col collapsed="false" customWidth="true" hidden="false" outlineLevel="0" max="13" min="13" style="0" width="13"/>
    <col collapsed="false" customWidth="true" hidden="false" outlineLevel="0" max="14" min="14" style="0" width="30"/>
  </cols>
  <sheetData>
    <row r="1" customFormat="false" ht="25.5" hidden="false" customHeight="true" outlineLevel="0" collapsed="false">
      <c r="A1" s="1" t="s">
        <v>1900</v>
      </c>
      <c r="B1" s="1"/>
      <c r="C1" s="1"/>
      <c r="D1" s="1"/>
      <c r="E1" s="1"/>
      <c r="F1" s="1"/>
      <c r="G1" s="1"/>
      <c r="H1" s="1"/>
      <c r="I1" s="1"/>
      <c r="J1" s="1"/>
      <c r="K1" s="1"/>
      <c r="L1" s="1"/>
      <c r="M1" s="24" t="s">
        <v>140</v>
      </c>
    </row>
    <row r="2" customFormat="false" ht="30" hidden="false" customHeight="true" outlineLevel="0" collapsed="false">
      <c r="A2" s="2" t="str">
        <f aca="false">"⬤ TAB QUALITY "&amp;IF(ISNUMBER('Quality &amp; Audit'!$B$39),IF('Quality &amp; Audit'!$B$39=INT('Quality &amp; Audit'!$B$39),TEXT('Quality &amp; Audit'!$B$39,"0"),TEXT('Quality &amp; Audit'!$B$39,"0.0")),"—")&amp;"/10 · "&amp;IF(ISNUMBER('Quality &amp; Audit'!$B$39),IF('Quality &amp; Audit'!$B$39&gt;=8,"PASS","FAIL"),"UNSCORED")&amp;" (target ≥8, live from the Quality &amp; Audit score cell)"&amp;" · column-contract arithmetic: 10 × 71/74 rows passing; content checks: line &amp; velocity column contract (per-row Row check) — cell completeness+type contract 518/518 · scor…"&amp;" · full audit: Quality &amp; Audit tab"</f>
        <v>⬤ TAB QUALITY 9.6/10 · PASS (target ≥8, live from the Quality &amp; Audit score cell) · column-contract arithmetic: 10 × 71/74 rows passing; content checks: line &amp; velocity column contract (per-row Row check) — cell completeness+type contract 518/518 · scor… · full audit: Quality &amp; Audit tab</v>
      </c>
      <c r="B2" s="2"/>
      <c r="C2" s="2"/>
      <c r="D2" s="2"/>
      <c r="E2" s="2"/>
      <c r="F2" s="2"/>
      <c r="G2" s="2"/>
      <c r="H2" s="2"/>
      <c r="I2" s="2"/>
      <c r="J2" s="2"/>
      <c r="K2" s="2"/>
      <c r="L2" s="2"/>
    </row>
    <row r="3" customFormat="false" ht="54" hidden="false" customHeight="true" outlineLevel="0" collapsed="false">
      <c r="A3" s="3" t="s">
        <v>1901</v>
      </c>
      <c r="B3" s="3"/>
      <c r="C3" s="3"/>
      <c r="D3" s="3"/>
      <c r="E3" s="3"/>
      <c r="F3" s="3"/>
      <c r="G3" s="3"/>
      <c r="H3" s="3"/>
      <c r="I3" s="3"/>
      <c r="J3" s="3"/>
      <c r="K3" s="3"/>
      <c r="L3" s="3"/>
    </row>
    <row r="4" customFormat="false" ht="43.5" hidden="false" customHeight="true" outlineLevel="0" collapsed="false">
      <c r="A4" s="53" t="s">
        <v>1902</v>
      </c>
      <c r="B4" s="53"/>
      <c r="C4" s="53"/>
      <c r="D4" s="53"/>
      <c r="E4" s="53"/>
      <c r="F4" s="53"/>
      <c r="G4" s="53"/>
      <c r="H4" s="53"/>
      <c r="I4" s="53"/>
      <c r="J4" s="53"/>
      <c r="K4" s="53"/>
      <c r="L4" s="53"/>
    </row>
    <row r="5" customFormat="false" ht="43.5" hidden="false" customHeight="true" outlineLevel="0" collapsed="false">
      <c r="A5" s="53" t="s">
        <v>1903</v>
      </c>
      <c r="B5" s="53"/>
      <c r="C5" s="53"/>
      <c r="D5" s="53"/>
      <c r="E5" s="53"/>
      <c r="F5" s="53"/>
      <c r="G5" s="53"/>
      <c r="H5" s="53"/>
      <c r="I5" s="53"/>
      <c r="J5" s="53"/>
      <c r="K5" s="53"/>
      <c r="L5" s="53"/>
    </row>
    <row r="7" customFormat="false" ht="15" hidden="false" customHeight="false" outlineLevel="0" collapsed="false">
      <c r="A7" s="8" t="s">
        <v>1904</v>
      </c>
      <c r="B7" s="8"/>
      <c r="C7" s="8"/>
      <c r="D7" s="8"/>
      <c r="E7" s="8"/>
      <c r="F7" s="8"/>
      <c r="G7" s="8"/>
      <c r="H7" s="8"/>
      <c r="I7" s="8"/>
      <c r="J7" s="8"/>
      <c r="K7" s="8"/>
      <c r="L7" s="8"/>
    </row>
    <row r="8" customFormat="false" ht="15" hidden="false" customHeight="true" outlineLevel="0" collapsed="false">
      <c r="A8" s="6" t="s">
        <v>1905</v>
      </c>
      <c r="B8" s="6"/>
      <c r="C8" s="6"/>
      <c r="D8" s="6"/>
      <c r="E8" s="6"/>
      <c r="F8" s="6"/>
      <c r="G8" s="6"/>
      <c r="H8" s="6"/>
      <c r="I8" s="6"/>
      <c r="J8" s="6"/>
      <c r="K8" s="6"/>
      <c r="L8" s="6"/>
    </row>
    <row r="9" customFormat="false" ht="15" hidden="false" customHeight="false" outlineLevel="0" collapsed="false">
      <c r="A9" s="9" t="s">
        <v>406</v>
      </c>
      <c r="B9" s="9" t="s">
        <v>1906</v>
      </c>
      <c r="C9" s="9" t="s">
        <v>1907</v>
      </c>
      <c r="D9" s="9" t="s">
        <v>1670</v>
      </c>
      <c r="E9" s="9" t="s">
        <v>1908</v>
      </c>
      <c r="F9" s="9" t="s">
        <v>1909</v>
      </c>
      <c r="G9" s="9" t="s">
        <v>1910</v>
      </c>
      <c r="H9" s="9" t="s">
        <v>1845</v>
      </c>
      <c r="I9" s="9" t="s">
        <v>1847</v>
      </c>
      <c r="J9" s="9" t="s">
        <v>409</v>
      </c>
      <c r="K9" s="9" t="s">
        <v>256</v>
      </c>
      <c r="L9" s="9" t="s">
        <v>419</v>
      </c>
      <c r="M9" s="67" t="s">
        <v>1911</v>
      </c>
      <c r="N9" s="67" t="s">
        <v>420</v>
      </c>
      <c r="O9" s="10" t="s">
        <v>20</v>
      </c>
    </row>
    <row r="10" customFormat="false" ht="43.5" hidden="false" customHeight="true" outlineLevel="0" collapsed="false">
      <c r="A10" s="11" t="s">
        <v>1912</v>
      </c>
      <c r="B10" s="11" t="str">
        <f aca="false">'Part names'!$B$38</f>
        <v>Gac Softener</v>
      </c>
      <c r="C10" s="11" t="str">
        <f aca="false">'Part names'!$B$87</f>
        <v>Softener Vessel</v>
      </c>
      <c r="D10" s="11" t="s">
        <v>1913</v>
      </c>
      <c r="E10" s="11" t="s">
        <v>1914</v>
      </c>
      <c r="F10" s="92" t="n">
        <v>1.304</v>
      </c>
      <c r="G10" s="11" t="s">
        <v>1915</v>
      </c>
      <c r="H10" s="59" t="n">
        <v>10.79</v>
      </c>
      <c r="I10" s="93" t="str">
        <f aca="false">IF(ISNUMBER($M10),IF(AND(ISNUMBER($F10),$F10&lt;=$M10),"✓","✗"),IF(LEN(TRIM($N10&amp;""))=0,"n/a","✗"))</f>
        <v>✓</v>
      </c>
      <c r="J10" s="36" t="n">
        <v>757.4</v>
      </c>
      <c r="K10" s="68" t="s">
        <v>1916</v>
      </c>
      <c r="L10" s="69" t="str">
        <f aca="false">IF(AND(OR($I10="✓",$I10="n/a"),LEN(TRIM($N10&amp;""))=0),"PASS","FAIL — "&amp;IF(LEN(TRIM($N10&amp;""))&gt;0,TRIM($N10&amp;""),"velocity/ΔU outside its band or unverifiable"))</f>
        <v>PASS</v>
      </c>
      <c r="M10" s="84" t="n">
        <v>3</v>
      </c>
      <c r="N10" s="70"/>
      <c r="O10" s="16" t="str">
        <f aca="false">IF(AND(LEN(TRIM(A10&amp;""))&gt;0,TRIM(A10&amp;"")&lt;&gt;"—",LEN(TRIM(B10&amp;""))&gt;0,TRIM(B10&amp;"")&lt;&gt;"—",LEN(TRIM(C10&amp;""))&gt;0,TRIM(C10&amp;"")&lt;&gt;"—",LEN(TRIM(D10&amp;""))&gt;0,TRIM(D10&amp;"")&lt;&gt;"—",LEN(TRIM(I10&amp;""))&gt;0,TRIM(I10&amp;"")&lt;&gt;"—",LEN(TRIM(K10&amp;""))&gt;0,TRIM(K10&amp;"")&lt;&gt;"—",LEN(TRIM(L10&amp;""))&gt;0,TRIM(L10&amp;"")&lt;&gt;"—"),"PASS","⚠ FAIL — "&amp;"a required cell is empty/placeholder or wrong type")</f>
        <v>PASS</v>
      </c>
    </row>
    <row r="11" customFormat="false" ht="43.5" hidden="false" customHeight="true" outlineLevel="0" collapsed="false">
      <c r="A11" s="11" t="s">
        <v>1917</v>
      </c>
      <c r="B11" s="11" t="str">
        <f aca="false">'Part names'!$B$38</f>
        <v>Gac Softener</v>
      </c>
      <c r="C11" s="11" t="str">
        <f aca="false">'Part names'!$B$25</f>
        <v>Drain Collection Sump</v>
      </c>
      <c r="D11" s="11" t="s">
        <v>1918</v>
      </c>
      <c r="E11" s="11" t="s">
        <v>1919</v>
      </c>
      <c r="F11" s="92" t="n">
        <v>0.968</v>
      </c>
      <c r="G11" s="11" t="s">
        <v>1915</v>
      </c>
      <c r="H11" s="59" t="n">
        <v>20.37</v>
      </c>
      <c r="I11" s="93" t="str">
        <f aca="false">IF(ISNUMBER($M11),IF(AND(ISNUMBER($F11),$F11&lt;=$M11),"✓","✗"),IF(LEN(TRIM($N11&amp;""))=0,"n/a","✗"))</f>
        <v>✓</v>
      </c>
      <c r="J11" s="36" t="n">
        <v>2908.1</v>
      </c>
      <c r="K11" s="68" t="s">
        <v>1920</v>
      </c>
      <c r="L11" s="69" t="str">
        <f aca="false">IF(AND(OR($I11="✓",$I11="n/a"),LEN(TRIM($N11&amp;""))=0),"PASS","FAIL — "&amp;IF(LEN(TRIM($N11&amp;""))&gt;0,TRIM($N11&amp;""),"velocity/ΔU outside its band or unverifiable"))</f>
        <v>PASS</v>
      </c>
      <c r="M11" s="84" t="n">
        <v>3</v>
      </c>
      <c r="N11" s="70"/>
      <c r="O11" s="16" t="str">
        <f aca="false">IF(AND(LEN(TRIM(A11&amp;""))&gt;0,TRIM(A11&amp;"")&lt;&gt;"—",LEN(TRIM(B11&amp;""))&gt;0,TRIM(B11&amp;"")&lt;&gt;"—",LEN(TRIM(C11&amp;""))&gt;0,TRIM(C11&amp;"")&lt;&gt;"—",LEN(TRIM(D11&amp;""))&gt;0,TRIM(D11&amp;"")&lt;&gt;"—",LEN(TRIM(I11&amp;""))&gt;0,TRIM(I11&amp;"")&lt;&gt;"—",LEN(TRIM(K11&amp;""))&gt;0,TRIM(K11&amp;"")&lt;&gt;"—",LEN(TRIM(L11&amp;""))&gt;0,TRIM(L11&amp;"")&lt;&gt;"—"),"PASS","⚠ FAIL — "&amp;"a required cell is empty/placeholder or wrong type")</f>
        <v>PASS</v>
      </c>
    </row>
    <row r="12" customFormat="false" ht="43.5" hidden="false" customHeight="true" outlineLevel="0" collapsed="false">
      <c r="A12" s="11" t="s">
        <v>1921</v>
      </c>
      <c r="B12" s="11" t="str">
        <f aca="false">'Part names'!$B$96</f>
        <v>Uf Module Bank</v>
      </c>
      <c r="C12" s="11" t="str">
        <f aca="false">'Part names'!$B$82</f>
        <v>Ro High Pressure Pump</v>
      </c>
      <c r="D12" s="11" t="s">
        <v>1922</v>
      </c>
      <c r="E12" s="11" t="s">
        <v>1923</v>
      </c>
      <c r="F12" s="92" t="n">
        <v>1.412</v>
      </c>
      <c r="G12" s="11" t="s">
        <v>1915</v>
      </c>
      <c r="H12" s="59" t="n">
        <v>21.53</v>
      </c>
      <c r="I12" s="93" t="str">
        <f aca="false">IF(ISNUMBER($M12),IF(AND(ISNUMBER($F12),$F12&lt;=$M12),"✓","✗"),IF(LEN(TRIM($N12&amp;""))=0,"n/a","✗"))</f>
        <v>✓</v>
      </c>
      <c r="J12" s="36" t="n">
        <v>1117.44</v>
      </c>
      <c r="K12" s="68" t="s">
        <v>1924</v>
      </c>
      <c r="L12" s="69" t="str">
        <f aca="false">IF(AND(OR($I12="✓",$I12="n/a"),LEN(TRIM($N12&amp;""))=0),"PASS","FAIL — "&amp;IF(LEN(TRIM($N12&amp;""))&gt;0,TRIM($N12&amp;""),"velocity/ΔU outside its band or unverifiable"))</f>
        <v>PASS</v>
      </c>
      <c r="M12" s="84" t="n">
        <v>3</v>
      </c>
      <c r="N12" s="70"/>
      <c r="O12" s="16" t="str">
        <f aca="false">IF(AND(LEN(TRIM(A12&amp;""))&gt;0,TRIM(A12&amp;"")&lt;&gt;"—",LEN(TRIM(B12&amp;""))&gt;0,TRIM(B12&amp;"")&lt;&gt;"—",LEN(TRIM(C12&amp;""))&gt;0,TRIM(C12&amp;"")&lt;&gt;"—",LEN(TRIM(D12&amp;""))&gt;0,TRIM(D12&amp;"")&lt;&gt;"—",LEN(TRIM(I12&amp;""))&gt;0,TRIM(I12&amp;"")&lt;&gt;"—",LEN(TRIM(K12&amp;""))&gt;0,TRIM(K12&amp;"")&lt;&gt;"—",LEN(TRIM(L12&amp;""))&gt;0,TRIM(L12&amp;"")&lt;&gt;"—"),"PASS","⚠ FAIL — "&amp;"a required cell is empty/placeholder or wrong type")</f>
        <v>PASS</v>
      </c>
    </row>
    <row r="13" customFormat="false" ht="43.5" hidden="false" customHeight="true" outlineLevel="0" collapsed="false">
      <c r="A13" s="11" t="s">
        <v>1925</v>
      </c>
      <c r="B13" s="11" t="str">
        <f aca="false">'Part names'!$B$96</f>
        <v>Uf Module Bank</v>
      </c>
      <c r="C13" s="11" t="str">
        <f aca="false">'Part names'!$B$25</f>
        <v>Drain Collection Sump</v>
      </c>
      <c r="D13" s="11" t="s">
        <v>1918</v>
      </c>
      <c r="E13" s="11" t="s">
        <v>1919</v>
      </c>
      <c r="F13" s="92" t="n">
        <v>0.968</v>
      </c>
      <c r="G13" s="11" t="s">
        <v>1915</v>
      </c>
      <c r="H13" s="59" t="n">
        <v>22.14</v>
      </c>
      <c r="I13" s="93" t="str">
        <f aca="false">IF(ISNUMBER($M13),IF(AND(ISNUMBER($F13),$F13&lt;=$M13),"✓","✗"),IF(LEN(TRIM($N13&amp;""))=0,"n/a","✗"))</f>
        <v>✓</v>
      </c>
      <c r="J13" s="36" t="n">
        <v>3138.2</v>
      </c>
      <c r="K13" s="68" t="s">
        <v>1926</v>
      </c>
      <c r="L13" s="69" t="str">
        <f aca="false">IF(AND(OR($I13="✓",$I13="n/a"),LEN(TRIM($N13&amp;""))=0),"PASS","FAIL — "&amp;IF(LEN(TRIM($N13&amp;""))&gt;0,TRIM($N13&amp;""),"velocity/ΔU outside its band or unverifiable"))</f>
        <v>PASS</v>
      </c>
      <c r="M13" s="84" t="n">
        <v>3</v>
      </c>
      <c r="N13" s="70"/>
      <c r="O13" s="16" t="str">
        <f aca="false">IF(AND(LEN(TRIM(A13&amp;""))&gt;0,TRIM(A13&amp;"")&lt;&gt;"—",LEN(TRIM(B13&amp;""))&gt;0,TRIM(B13&amp;"")&lt;&gt;"—",LEN(TRIM(C13&amp;""))&gt;0,TRIM(C13&amp;"")&lt;&gt;"—",LEN(TRIM(D13&amp;""))&gt;0,TRIM(D13&amp;"")&lt;&gt;"—",LEN(TRIM(I13&amp;""))&gt;0,TRIM(I13&amp;"")&lt;&gt;"—",LEN(TRIM(K13&amp;""))&gt;0,TRIM(K13&amp;"")&lt;&gt;"—",LEN(TRIM(L13&amp;""))&gt;0,TRIM(L13&amp;"")&lt;&gt;"—"),"PASS","⚠ FAIL — "&amp;"a required cell is empty/placeholder or wrong type")</f>
        <v>PASS</v>
      </c>
    </row>
    <row r="14" customFormat="false" ht="43.5" hidden="false" customHeight="true" outlineLevel="0" collapsed="false">
      <c r="A14" s="11" t="s">
        <v>1927</v>
      </c>
      <c r="B14" s="11" t="str">
        <f aca="false">'Part names'!$B$82</f>
        <v>Ro High Pressure Pump</v>
      </c>
      <c r="C14" s="11" t="str">
        <f aca="false">'Part names'!$B$81</f>
        <v>Reverse Osmosis Skid</v>
      </c>
      <c r="D14" s="11" t="s">
        <v>1922</v>
      </c>
      <c r="E14" s="11" t="s">
        <v>1923</v>
      </c>
      <c r="F14" s="92" t="n">
        <v>1.412</v>
      </c>
      <c r="G14" s="11" t="s">
        <v>1915</v>
      </c>
      <c r="H14" s="59" t="n">
        <v>30.89</v>
      </c>
      <c r="I14" s="93" t="str">
        <f aca="false">IF(ISNUMBER($M14),IF(AND(ISNUMBER($F14),$F14&lt;=$M14),"✓","✗"),IF(LEN(TRIM($N14&amp;""))=0,"n/a","✗"))</f>
        <v>✓</v>
      </c>
      <c r="J14" s="36" t="n">
        <v>1566.72</v>
      </c>
      <c r="K14" s="68" t="s">
        <v>1928</v>
      </c>
      <c r="L14" s="69" t="str">
        <f aca="false">IF(AND(OR($I14="✓",$I14="n/a"),LEN(TRIM($N14&amp;""))=0),"PASS","FAIL — "&amp;IF(LEN(TRIM($N14&amp;""))&gt;0,TRIM($N14&amp;""),"velocity/ΔU outside its band or unverifiable"))</f>
        <v>PASS</v>
      </c>
      <c r="M14" s="84" t="n">
        <v>3</v>
      </c>
      <c r="N14" s="70"/>
      <c r="O14" s="16" t="str">
        <f aca="false">IF(AND(LEN(TRIM(A14&amp;""))&gt;0,TRIM(A14&amp;"")&lt;&gt;"—",LEN(TRIM(B14&amp;""))&gt;0,TRIM(B14&amp;"")&lt;&gt;"—",LEN(TRIM(C14&amp;""))&gt;0,TRIM(C14&amp;"")&lt;&gt;"—",LEN(TRIM(D14&amp;""))&gt;0,TRIM(D14&amp;"")&lt;&gt;"—",LEN(TRIM(I14&amp;""))&gt;0,TRIM(I14&amp;"")&lt;&gt;"—",LEN(TRIM(K14&amp;""))&gt;0,TRIM(K14&amp;"")&lt;&gt;"—",LEN(TRIM(L14&amp;""))&gt;0,TRIM(L14&amp;"")&lt;&gt;"—"),"PASS","⚠ FAIL — "&amp;"a required cell is empty/placeholder or wrong type")</f>
        <v>PASS</v>
      </c>
    </row>
    <row r="15" customFormat="false" ht="43.5" hidden="false" customHeight="true" outlineLevel="0" collapsed="false">
      <c r="A15" s="11" t="s">
        <v>1929</v>
      </c>
      <c r="B15" s="11" t="str">
        <f aca="false">'Part names'!$B$82</f>
        <v>Ro High Pressure Pump</v>
      </c>
      <c r="C15" s="11" t="str">
        <f aca="false">'Part names'!$B$25</f>
        <v>Drain Collection Sump</v>
      </c>
      <c r="D15" s="11" t="s">
        <v>1918</v>
      </c>
      <c r="E15" s="11" t="s">
        <v>1919</v>
      </c>
      <c r="F15" s="92" t="n">
        <v>0.968</v>
      </c>
      <c r="G15" s="11" t="s">
        <v>1915</v>
      </c>
      <c r="H15" s="59" t="n">
        <v>35.13</v>
      </c>
      <c r="I15" s="93" t="str">
        <f aca="false">IF(ISNUMBER($M15),IF(AND(ISNUMBER($F15),$F15&lt;=$M15),"✓","✗"),IF(LEN(TRIM($N15&amp;""))=0,"n/a","✗"))</f>
        <v>✓</v>
      </c>
      <c r="J15" s="36" t="n">
        <v>4826.9</v>
      </c>
      <c r="K15" s="68" t="s">
        <v>1930</v>
      </c>
      <c r="L15" s="69" t="str">
        <f aca="false">IF(AND(OR($I15="✓",$I15="n/a"),LEN(TRIM($N15&amp;""))=0),"PASS","FAIL — "&amp;IF(LEN(TRIM($N15&amp;""))&gt;0,TRIM($N15&amp;""),"velocity/ΔU outside its band or unverifiable"))</f>
        <v>PASS</v>
      </c>
      <c r="M15" s="84" t="n">
        <v>3</v>
      </c>
      <c r="N15" s="70"/>
      <c r="O15" s="16" t="str">
        <f aca="false">IF(AND(LEN(TRIM(A15&amp;""))&gt;0,TRIM(A15&amp;"")&lt;&gt;"—",LEN(TRIM(B15&amp;""))&gt;0,TRIM(B15&amp;"")&lt;&gt;"—",LEN(TRIM(C15&amp;""))&gt;0,TRIM(C15&amp;"")&lt;&gt;"—",LEN(TRIM(D15&amp;""))&gt;0,TRIM(D15&amp;"")&lt;&gt;"—",LEN(TRIM(I15&amp;""))&gt;0,TRIM(I15&amp;"")&lt;&gt;"—",LEN(TRIM(K15&amp;""))&gt;0,TRIM(K15&amp;"")&lt;&gt;"—",LEN(TRIM(L15&amp;""))&gt;0,TRIM(L15&amp;"")&lt;&gt;"—"),"PASS","⚠ FAIL — "&amp;"a required cell is empty/placeholder or wrong type")</f>
        <v>PASS</v>
      </c>
    </row>
    <row r="16" customFormat="false" ht="43.5" hidden="false" customHeight="true" outlineLevel="0" collapsed="false">
      <c r="A16" s="11" t="s">
        <v>1931</v>
      </c>
      <c r="B16" s="11" t="str">
        <f aca="false">'Part names'!$B$16</f>
        <v>Cloth Filter</v>
      </c>
      <c r="C16" s="11" t="str">
        <f aca="false">'Part names'!$B$37</f>
        <v>Gac Filter</v>
      </c>
      <c r="D16" s="11" t="s">
        <v>1932</v>
      </c>
      <c r="E16" s="11" t="s">
        <v>1933</v>
      </c>
      <c r="F16" s="92" t="n">
        <v>1.191</v>
      </c>
      <c r="G16" s="11" t="s">
        <v>1915</v>
      </c>
      <c r="H16" s="59" t="n">
        <v>18.58</v>
      </c>
      <c r="I16" s="93" t="str">
        <f aca="false">IF(ISNUMBER($M16),IF(AND(ISNUMBER($F16),$F16&lt;=$M16),"✓","✗"),IF(LEN(TRIM($N16&amp;""))=0,"n/a","✗"))</f>
        <v>✓</v>
      </c>
      <c r="J16" s="36" t="n">
        <v>3405.7</v>
      </c>
      <c r="K16" s="68" t="s">
        <v>1934</v>
      </c>
      <c r="L16" s="69" t="str">
        <f aca="false">IF(AND(OR($I16="✓",$I16="n/a"),LEN(TRIM($N16&amp;""))=0),"PASS","FAIL — "&amp;IF(LEN(TRIM($N16&amp;""))&gt;0,TRIM($N16&amp;""),"velocity/ΔU outside its band or unverifiable"))</f>
        <v>PASS</v>
      </c>
      <c r="M16" s="84" t="n">
        <v>3</v>
      </c>
      <c r="N16" s="70"/>
      <c r="O16" s="16" t="str">
        <f aca="false">IF(AND(LEN(TRIM(A16&amp;""))&gt;0,TRIM(A16&amp;"")&lt;&gt;"—",LEN(TRIM(B16&amp;""))&gt;0,TRIM(B16&amp;"")&lt;&gt;"—",LEN(TRIM(C16&amp;""))&gt;0,TRIM(C16&amp;"")&lt;&gt;"—",LEN(TRIM(D16&amp;""))&gt;0,TRIM(D16&amp;"")&lt;&gt;"—",LEN(TRIM(I16&amp;""))&gt;0,TRIM(I16&amp;"")&lt;&gt;"—",LEN(TRIM(K16&amp;""))&gt;0,TRIM(K16&amp;"")&lt;&gt;"—",LEN(TRIM(L16&amp;""))&gt;0,TRIM(L16&amp;"")&lt;&gt;"—"),"PASS","⚠ FAIL — "&amp;"a required cell is empty/placeholder or wrong type")</f>
        <v>PASS</v>
      </c>
    </row>
    <row r="17" customFormat="false" ht="43.5" hidden="false" customHeight="true" outlineLevel="0" collapsed="false">
      <c r="A17" s="11" t="s">
        <v>1935</v>
      </c>
      <c r="B17" s="11" t="str">
        <f aca="false">'Part names'!$B$16</f>
        <v>Cloth Filter</v>
      </c>
      <c r="C17" s="11" t="str">
        <f aca="false">'Part names'!$B$25</f>
        <v>Drain Collection Sump</v>
      </c>
      <c r="D17" s="11" t="s">
        <v>1918</v>
      </c>
      <c r="E17" s="11" t="s">
        <v>1919</v>
      </c>
      <c r="F17" s="92" t="n">
        <v>0.968</v>
      </c>
      <c r="G17" s="11" t="s">
        <v>1915</v>
      </c>
      <c r="H17" s="59" t="n">
        <v>23.46</v>
      </c>
      <c r="I17" s="93" t="str">
        <f aca="false">IF(ISNUMBER($M17),IF(AND(ISNUMBER($F17),$F17&lt;=$M17),"✓","✗"),IF(LEN(TRIM($N17&amp;""))=0,"n/a","✗"))</f>
        <v>✓</v>
      </c>
      <c r="J17" s="36" t="n">
        <v>3309.8</v>
      </c>
      <c r="K17" s="68" t="s">
        <v>1936</v>
      </c>
      <c r="L17" s="69" t="str">
        <f aca="false">IF(AND(OR($I17="✓",$I17="n/a"),LEN(TRIM($N17&amp;""))=0),"PASS","FAIL — "&amp;IF(LEN(TRIM($N17&amp;""))&gt;0,TRIM($N17&amp;""),"velocity/ΔU outside its band or unverifiable"))</f>
        <v>PASS</v>
      </c>
      <c r="M17" s="84" t="n">
        <v>3</v>
      </c>
      <c r="N17" s="70"/>
      <c r="O17" s="16" t="str">
        <f aca="false">IF(AND(LEN(TRIM(A17&amp;""))&gt;0,TRIM(A17&amp;"")&lt;&gt;"—",LEN(TRIM(B17&amp;""))&gt;0,TRIM(B17&amp;"")&lt;&gt;"—",LEN(TRIM(C17&amp;""))&gt;0,TRIM(C17&amp;"")&lt;&gt;"—",LEN(TRIM(D17&amp;""))&gt;0,TRIM(D17&amp;"")&lt;&gt;"—",LEN(TRIM(I17&amp;""))&gt;0,TRIM(I17&amp;"")&lt;&gt;"—",LEN(TRIM(K17&amp;""))&gt;0,TRIM(K17&amp;"")&lt;&gt;"—",LEN(TRIM(L17&amp;""))&gt;0,TRIM(L17&amp;"")&lt;&gt;"—"),"PASS","⚠ FAIL — "&amp;"a required cell is empty/placeholder or wrong type")</f>
        <v>PASS</v>
      </c>
    </row>
    <row r="18" customFormat="false" ht="43.5" hidden="false" customHeight="true" outlineLevel="0" collapsed="false">
      <c r="A18" s="11" t="s">
        <v>1937</v>
      </c>
      <c r="B18" s="11" t="str">
        <f aca="false">'Part names'!$B$37</f>
        <v>Gac Filter</v>
      </c>
      <c r="C18" s="11" t="str">
        <f aca="false">'Part names'!$B$98</f>
        <v>Uv Disinfection</v>
      </c>
      <c r="D18" s="11" t="s">
        <v>1932</v>
      </c>
      <c r="E18" s="11" t="s">
        <v>1938</v>
      </c>
      <c r="F18" s="92" t="n">
        <v>1.34</v>
      </c>
      <c r="G18" s="11" t="s">
        <v>1915</v>
      </c>
      <c r="H18" s="59" t="n">
        <v>20.69</v>
      </c>
      <c r="I18" s="93" t="str">
        <f aca="false">IF(ISNUMBER($M18),IF(AND(ISNUMBER($F18),$F18&lt;=$M18),"✓","✗"),IF(LEN(TRIM($N18&amp;""))=0,"n/a","✗"))</f>
        <v>✓</v>
      </c>
      <c r="J18" s="36" t="n">
        <v>3753.85</v>
      </c>
      <c r="K18" s="68" t="s">
        <v>1939</v>
      </c>
      <c r="L18" s="69" t="str">
        <f aca="false">IF(AND(OR($I18="✓",$I18="n/a"),LEN(TRIM($N18&amp;""))=0),"PASS","FAIL — "&amp;IF(LEN(TRIM($N18&amp;""))&gt;0,TRIM($N18&amp;""),"velocity/ΔU outside its band or unverifiable"))</f>
        <v>PASS</v>
      </c>
      <c r="M18" s="84" t="n">
        <v>3</v>
      </c>
      <c r="N18" s="70"/>
      <c r="O18" s="16" t="str">
        <f aca="false">IF(AND(LEN(TRIM(A18&amp;""))&gt;0,TRIM(A18&amp;"")&lt;&gt;"—",LEN(TRIM(B18&amp;""))&gt;0,TRIM(B18&amp;"")&lt;&gt;"—",LEN(TRIM(C18&amp;""))&gt;0,TRIM(C18&amp;"")&lt;&gt;"—",LEN(TRIM(D18&amp;""))&gt;0,TRIM(D18&amp;"")&lt;&gt;"—",LEN(TRIM(I18&amp;""))&gt;0,TRIM(I18&amp;"")&lt;&gt;"—",LEN(TRIM(K18&amp;""))&gt;0,TRIM(K18&amp;"")&lt;&gt;"—",LEN(TRIM(L18&amp;""))&gt;0,TRIM(L18&amp;"")&lt;&gt;"—"),"PASS","⚠ FAIL — "&amp;"a required cell is empty/placeholder or wrong type")</f>
        <v>PASS</v>
      </c>
    </row>
    <row r="19" customFormat="false" ht="43.5" hidden="false" customHeight="true" outlineLevel="0" collapsed="false">
      <c r="A19" s="11" t="s">
        <v>1940</v>
      </c>
      <c r="B19" s="11" t="str">
        <f aca="false">'Part names'!$B$37</f>
        <v>Gac Filter</v>
      </c>
      <c r="C19" s="11" t="str">
        <f aca="false">'Part names'!$B$25</f>
        <v>Drain Collection Sump</v>
      </c>
      <c r="D19" s="11" t="s">
        <v>1918</v>
      </c>
      <c r="E19" s="11" t="s">
        <v>1919</v>
      </c>
      <c r="F19" s="92" t="n">
        <v>0.968</v>
      </c>
      <c r="G19" s="11" t="s">
        <v>1915</v>
      </c>
      <c r="H19" s="59" t="n">
        <v>29.59</v>
      </c>
      <c r="I19" s="93" t="str">
        <f aca="false">IF(ISNUMBER($M19),IF(AND(ISNUMBER($F19),$F19&lt;=$M19),"✓","✗"),IF(LEN(TRIM($N19&amp;""))=0,"n/a","✗"))</f>
        <v>✓</v>
      </c>
      <c r="J19" s="36" t="n">
        <v>4106.7</v>
      </c>
      <c r="K19" s="68" t="s">
        <v>1941</v>
      </c>
      <c r="L19" s="69" t="str">
        <f aca="false">IF(AND(OR($I19="✓",$I19="n/a"),LEN(TRIM($N19&amp;""))=0),"PASS","FAIL — "&amp;IF(LEN(TRIM($N19&amp;""))&gt;0,TRIM($N19&amp;""),"velocity/ΔU outside its band or unverifiable"))</f>
        <v>PASS</v>
      </c>
      <c r="M19" s="84" t="n">
        <v>3</v>
      </c>
      <c r="N19" s="70"/>
      <c r="O19" s="16" t="str">
        <f aca="false">IF(AND(LEN(TRIM(A19&amp;""))&gt;0,TRIM(A19&amp;"")&lt;&gt;"—",LEN(TRIM(B19&amp;""))&gt;0,TRIM(B19&amp;"")&lt;&gt;"—",LEN(TRIM(C19&amp;""))&gt;0,TRIM(C19&amp;"")&lt;&gt;"—",LEN(TRIM(D19&amp;""))&gt;0,TRIM(D19&amp;"")&lt;&gt;"—",LEN(TRIM(I19&amp;""))&gt;0,TRIM(I19&amp;"")&lt;&gt;"—",LEN(TRIM(K19&amp;""))&gt;0,TRIM(K19&amp;"")&lt;&gt;"—",LEN(TRIM(L19&amp;""))&gt;0,TRIM(L19&amp;"")&lt;&gt;"—"),"PASS","⚠ FAIL — "&amp;"a required cell is empty/placeholder or wrong type")</f>
        <v>PASS</v>
      </c>
    </row>
    <row r="20" customFormat="false" ht="43.5" hidden="false" customHeight="true" outlineLevel="0" collapsed="false">
      <c r="A20" s="11" t="s">
        <v>1942</v>
      </c>
      <c r="B20" s="11" t="str">
        <f aca="false">'Part names'!$B$98</f>
        <v>Uv Disinfection</v>
      </c>
      <c r="C20" s="11" t="str">
        <f aca="false">'Part names'!$B$25</f>
        <v>Drain Collection Sump</v>
      </c>
      <c r="D20" s="11" t="s">
        <v>1918</v>
      </c>
      <c r="E20" s="11" t="s">
        <v>1919</v>
      </c>
      <c r="F20" s="92" t="n">
        <v>0.968</v>
      </c>
      <c r="G20" s="11" t="s">
        <v>1915</v>
      </c>
      <c r="H20" s="59" t="n">
        <v>27.71</v>
      </c>
      <c r="I20" s="93" t="str">
        <f aca="false">IF(ISNUMBER($M20),IF(AND(ISNUMBER($F20),$F20&lt;=$M20),"✓","✗"),IF(LEN(TRIM($N20&amp;""))=0,"n/a","✗"))</f>
        <v>✓</v>
      </c>
      <c r="J20" s="36" t="n">
        <v>3862.3</v>
      </c>
      <c r="K20" s="68" t="s">
        <v>1943</v>
      </c>
      <c r="L20" s="69" t="str">
        <f aca="false">IF(AND(OR($I20="✓",$I20="n/a"),LEN(TRIM($N20&amp;""))=0),"PASS","FAIL — "&amp;IF(LEN(TRIM($N20&amp;""))&gt;0,TRIM($N20&amp;""),"velocity/ΔU outside its band or unverifiable"))</f>
        <v>PASS</v>
      </c>
      <c r="M20" s="84" t="n">
        <v>3</v>
      </c>
      <c r="N20" s="70"/>
      <c r="O20" s="16" t="str">
        <f aca="false">IF(AND(LEN(TRIM(A20&amp;""))&gt;0,TRIM(A20&amp;"")&lt;&gt;"—",LEN(TRIM(B20&amp;""))&gt;0,TRIM(B20&amp;"")&lt;&gt;"—",LEN(TRIM(C20&amp;""))&gt;0,TRIM(C20&amp;"")&lt;&gt;"—",LEN(TRIM(D20&amp;""))&gt;0,TRIM(D20&amp;"")&lt;&gt;"—",LEN(TRIM(I20&amp;""))&gt;0,TRIM(I20&amp;"")&lt;&gt;"—",LEN(TRIM(K20&amp;""))&gt;0,TRIM(K20&amp;"")&lt;&gt;"—",LEN(TRIM(L20&amp;""))&gt;0,TRIM(L20&amp;"")&lt;&gt;"—"),"PASS","⚠ FAIL — "&amp;"a required cell is empty/placeholder or wrong type")</f>
        <v>PASS</v>
      </c>
    </row>
    <row r="21" customFormat="false" ht="43.5" hidden="false" customHeight="true" outlineLevel="0" collapsed="false">
      <c r="A21" s="11" t="s">
        <v>1944</v>
      </c>
      <c r="B21" s="11" t="str">
        <f aca="false">'Part names'!$B$25</f>
        <v>Drain Collection Sump</v>
      </c>
      <c r="C21" s="11" t="str">
        <f aca="false">'Part names'!$B$27</f>
        <v>Drain Water Tank</v>
      </c>
      <c r="D21" s="11" t="s">
        <v>1918</v>
      </c>
      <c r="E21" s="11" t="s">
        <v>1919</v>
      </c>
      <c r="F21" s="92" t="n">
        <v>0.968</v>
      </c>
      <c r="G21" s="11" t="s">
        <v>1915</v>
      </c>
      <c r="H21" s="59" t="n">
        <v>11.74</v>
      </c>
      <c r="I21" s="93" t="str">
        <f aca="false">IF(ISNUMBER($M21),IF(AND(ISNUMBER($F21),$F21&lt;=$M21),"✓","✗"),IF(LEN(TRIM($N21&amp;""))=0,"n/a","✗"))</f>
        <v>✓</v>
      </c>
      <c r="J21" s="36" t="n">
        <v>1786.2</v>
      </c>
      <c r="K21" s="68" t="s">
        <v>1945</v>
      </c>
      <c r="L21" s="69" t="str">
        <f aca="false">IF(AND(OR($I21="✓",$I21="n/a"),LEN(TRIM($N21&amp;""))=0),"PASS","FAIL — "&amp;IF(LEN(TRIM($N21&amp;""))&gt;0,TRIM($N21&amp;""),"velocity/ΔU outside its band or unverifiable"))</f>
        <v>PASS</v>
      </c>
      <c r="M21" s="84" t="n">
        <v>3</v>
      </c>
      <c r="N21" s="70"/>
      <c r="O21" s="16" t="str">
        <f aca="false">IF(AND(LEN(TRIM(A21&amp;""))&gt;0,TRIM(A21&amp;"")&lt;&gt;"—",LEN(TRIM(B21&amp;""))&gt;0,TRIM(B21&amp;"")&lt;&gt;"—",LEN(TRIM(C21&amp;""))&gt;0,TRIM(C21&amp;"")&lt;&gt;"—",LEN(TRIM(D21&amp;""))&gt;0,TRIM(D21&amp;"")&lt;&gt;"—",LEN(TRIM(I21&amp;""))&gt;0,TRIM(I21&amp;"")&lt;&gt;"—",LEN(TRIM(K21&amp;""))&gt;0,TRIM(K21&amp;"")&lt;&gt;"—",LEN(TRIM(L21&amp;""))&gt;0,TRIM(L21&amp;"")&lt;&gt;"—"),"PASS","⚠ FAIL — "&amp;"a required cell is empty/placeholder or wrong type")</f>
        <v>PASS</v>
      </c>
    </row>
    <row r="22" customFormat="false" ht="43.5" hidden="false" customHeight="true" outlineLevel="0" collapsed="false">
      <c r="A22" s="11" t="s">
        <v>1946</v>
      </c>
      <c r="B22" s="11" t="str">
        <f aca="false">'Part names'!$B$25</f>
        <v>Drain Collection Sump</v>
      </c>
      <c r="C22" s="11" t="str">
        <f aca="false">'Part names'!$B$98</f>
        <v>Uv Disinfection</v>
      </c>
      <c r="D22" s="11" t="s">
        <v>1932</v>
      </c>
      <c r="E22" s="11" t="s">
        <v>1938</v>
      </c>
      <c r="F22" s="92" t="n">
        <v>1.34</v>
      </c>
      <c r="G22" s="11" t="s">
        <v>1915</v>
      </c>
      <c r="H22" s="59" t="n">
        <v>22.39</v>
      </c>
      <c r="I22" s="93" t="str">
        <f aca="false">IF(ISNUMBER($M22),IF(AND(ISNUMBER($F22),$F22&lt;=$M22),"✓","✗"),IF(LEN(TRIM($N22&amp;""))=0,"n/a","✗"))</f>
        <v>✓</v>
      </c>
      <c r="J22" s="36" t="n">
        <v>4034.35</v>
      </c>
      <c r="K22" s="68" t="s">
        <v>1947</v>
      </c>
      <c r="L22" s="69" t="str">
        <f aca="false">IF(AND(OR($I22="✓",$I22="n/a"),LEN(TRIM($N22&amp;""))=0),"PASS","FAIL — "&amp;IF(LEN(TRIM($N22&amp;""))&gt;0,TRIM($N22&amp;""),"velocity/ΔU outside its band or unverifiable"))</f>
        <v>PASS</v>
      </c>
      <c r="M22" s="84" t="n">
        <v>3</v>
      </c>
      <c r="N22" s="70"/>
      <c r="O22" s="16" t="str">
        <f aca="false">IF(AND(LEN(TRIM(A22&amp;""))&gt;0,TRIM(A22&amp;"")&lt;&gt;"—",LEN(TRIM(B22&amp;""))&gt;0,TRIM(B22&amp;"")&lt;&gt;"—",LEN(TRIM(C22&amp;""))&gt;0,TRIM(C22&amp;"")&lt;&gt;"—",LEN(TRIM(D22&amp;""))&gt;0,TRIM(D22&amp;"")&lt;&gt;"—",LEN(TRIM(I22&amp;""))&gt;0,TRIM(I22&amp;"")&lt;&gt;"—",LEN(TRIM(K22&amp;""))&gt;0,TRIM(K22&amp;"")&lt;&gt;"—",LEN(TRIM(L22&amp;""))&gt;0,TRIM(L22&amp;"")&lt;&gt;"—"),"PASS","⚠ FAIL — "&amp;"a required cell is empty/placeholder or wrong type")</f>
        <v>PASS</v>
      </c>
    </row>
    <row r="23" customFormat="false" ht="43.5" hidden="false" customHeight="true" outlineLevel="0" collapsed="false">
      <c r="A23" s="11" t="s">
        <v>1948</v>
      </c>
      <c r="B23" s="11" t="str">
        <f aca="false">'Part names'!$B$25</f>
        <v>Drain Collection Sump</v>
      </c>
      <c r="C23" s="11" t="str">
        <f aca="false">'Part names'!$B$87</f>
        <v>Softener Vessel</v>
      </c>
      <c r="D23" s="11" t="s">
        <v>1913</v>
      </c>
      <c r="E23" s="11" t="s">
        <v>1914</v>
      </c>
      <c r="F23" s="92" t="n">
        <v>1.304</v>
      </c>
      <c r="G23" s="11" t="s">
        <v>1915</v>
      </c>
      <c r="H23" s="59" t="n">
        <v>8.95</v>
      </c>
      <c r="I23" s="93" t="str">
        <f aca="false">IF(ISNUMBER($M23),IF(AND(ISNUMBER($F23),$F23&lt;=$M23),"✓","✗"),IF(LEN(TRIM($N23&amp;""))=0,"n/a","✗"))</f>
        <v>✓</v>
      </c>
      <c r="J23" s="36" t="n">
        <v>647</v>
      </c>
      <c r="K23" s="68" t="s">
        <v>1949</v>
      </c>
      <c r="L23" s="69" t="str">
        <f aca="false">IF(AND(OR($I23="✓",$I23="n/a"),LEN(TRIM($N23&amp;""))=0),"PASS","FAIL — "&amp;IF(LEN(TRIM($N23&amp;""))&gt;0,TRIM($N23&amp;""),"velocity/ΔU outside its band or unverifiable"))</f>
        <v>PASS</v>
      </c>
      <c r="M23" s="84" t="n">
        <v>3</v>
      </c>
      <c r="N23" s="70"/>
      <c r="O23" s="16" t="str">
        <f aca="false">IF(AND(LEN(TRIM(A23&amp;""))&gt;0,TRIM(A23&amp;"")&lt;&gt;"—",LEN(TRIM(B23&amp;""))&gt;0,TRIM(B23&amp;"")&lt;&gt;"—",LEN(TRIM(C23&amp;""))&gt;0,TRIM(C23&amp;"")&lt;&gt;"—",LEN(TRIM(D23&amp;""))&gt;0,TRIM(D23&amp;"")&lt;&gt;"—",LEN(TRIM(I23&amp;""))&gt;0,TRIM(I23&amp;"")&lt;&gt;"—",LEN(TRIM(K23&amp;""))&gt;0,TRIM(K23&amp;"")&lt;&gt;"—",LEN(TRIM(L23&amp;""))&gt;0,TRIM(L23&amp;"")&lt;&gt;"—"),"PASS","⚠ FAIL — "&amp;"a required cell is empty/placeholder or wrong type")</f>
        <v>PASS</v>
      </c>
    </row>
    <row r="24" customFormat="false" ht="43.5" hidden="false" customHeight="true" outlineLevel="0" collapsed="false">
      <c r="A24" s="11" t="s">
        <v>1950</v>
      </c>
      <c r="B24" s="11" t="str">
        <f aca="false">'Part names'!$B$25</f>
        <v>Drain Collection Sump</v>
      </c>
      <c r="C24" s="11" t="str">
        <f aca="false">'Part names'!$B$40</f>
        <v>Hand Watering Pump</v>
      </c>
      <c r="D24" s="11" t="s">
        <v>1951</v>
      </c>
      <c r="E24" s="11" t="s">
        <v>1952</v>
      </c>
      <c r="F24" s="92" t="n">
        <v>1.457</v>
      </c>
      <c r="G24" s="11" t="s">
        <v>1915</v>
      </c>
      <c r="H24" s="59" t="n">
        <v>29.38</v>
      </c>
      <c r="I24" s="93" t="str">
        <f aca="false">IF(ISNUMBER($M24),IF(AND(ISNUMBER($F24),$F24&lt;=$M24),"✓","✗"),IF(LEN(TRIM($N24&amp;""))=0,"n/a","✗"))</f>
        <v>✓</v>
      </c>
      <c r="J24" s="36" t="n">
        <v>2314.12</v>
      </c>
      <c r="K24" s="68" t="s">
        <v>1953</v>
      </c>
      <c r="L24" s="69" t="str">
        <f aca="false">IF(AND(OR($I24="✓",$I24="n/a"),LEN(TRIM($N24&amp;""))=0),"PASS","FAIL — "&amp;IF(LEN(TRIM($N24&amp;""))&gt;0,TRIM($N24&amp;""),"velocity/ΔU outside its band or unverifiable"))</f>
        <v>PASS</v>
      </c>
      <c r="M24" s="84" t="n">
        <v>3</v>
      </c>
      <c r="N24" s="70"/>
      <c r="O24" s="16" t="str">
        <f aca="false">IF(AND(LEN(TRIM(A24&amp;""))&gt;0,TRIM(A24&amp;"")&lt;&gt;"—",LEN(TRIM(B24&amp;""))&gt;0,TRIM(B24&amp;"")&lt;&gt;"—",LEN(TRIM(C24&amp;""))&gt;0,TRIM(C24&amp;"")&lt;&gt;"—",LEN(TRIM(D24&amp;""))&gt;0,TRIM(D24&amp;"")&lt;&gt;"—",LEN(TRIM(I24&amp;""))&gt;0,TRIM(I24&amp;"")&lt;&gt;"—",LEN(TRIM(K24&amp;""))&gt;0,TRIM(K24&amp;"")&lt;&gt;"—",LEN(TRIM(L24&amp;""))&gt;0,TRIM(L24&amp;"")&lt;&gt;"—"),"PASS","⚠ FAIL — "&amp;"a required cell is empty/placeholder or wrong type")</f>
        <v>PASS</v>
      </c>
    </row>
    <row r="25" customFormat="false" ht="43.5" hidden="false" customHeight="true" outlineLevel="0" collapsed="false">
      <c r="A25" s="11" t="s">
        <v>1954</v>
      </c>
      <c r="B25" s="11" t="str">
        <f aca="false">'Part names'!$B$25</f>
        <v>Drain Collection Sump</v>
      </c>
      <c r="C25" s="11" t="str">
        <f aca="false">'Part names'!$B$16</f>
        <v>Cloth Filter</v>
      </c>
      <c r="D25" s="11" t="s">
        <v>1932</v>
      </c>
      <c r="E25" s="11" t="s">
        <v>1933</v>
      </c>
      <c r="F25" s="92" t="n">
        <v>1.191</v>
      </c>
      <c r="G25" s="11" t="s">
        <v>1915</v>
      </c>
      <c r="H25" s="59" t="n">
        <v>19.46</v>
      </c>
      <c r="I25" s="93" t="str">
        <f aca="false">IF(ISNUMBER($M25),IF(AND(ISNUMBER($F25),$F25&lt;=$M25),"✓","✗"),IF(LEN(TRIM($N25&amp;""))=0,"n/a","✗"))</f>
        <v>✓</v>
      </c>
      <c r="J25" s="36" t="n">
        <v>3550.9</v>
      </c>
      <c r="K25" s="68" t="s">
        <v>1955</v>
      </c>
      <c r="L25" s="69" t="str">
        <f aca="false">IF(AND(OR($I25="✓",$I25="n/a"),LEN(TRIM($N25&amp;""))=0),"PASS","FAIL — "&amp;IF(LEN(TRIM($N25&amp;""))&gt;0,TRIM($N25&amp;""),"velocity/ΔU outside its band or unverifiable"))</f>
        <v>PASS</v>
      </c>
      <c r="M25" s="84" t="n">
        <v>3</v>
      </c>
      <c r="N25" s="70"/>
      <c r="O25" s="16" t="str">
        <f aca="false">IF(AND(LEN(TRIM(A25&amp;""))&gt;0,TRIM(A25&amp;"")&lt;&gt;"—",LEN(TRIM(B25&amp;""))&gt;0,TRIM(B25&amp;"")&lt;&gt;"—",LEN(TRIM(C25&amp;""))&gt;0,TRIM(C25&amp;"")&lt;&gt;"—",LEN(TRIM(D25&amp;""))&gt;0,TRIM(D25&amp;"")&lt;&gt;"—",LEN(TRIM(I25&amp;""))&gt;0,TRIM(I25&amp;"")&lt;&gt;"—",LEN(TRIM(K25&amp;""))&gt;0,TRIM(K25&amp;"")&lt;&gt;"—",LEN(TRIM(L25&amp;""))&gt;0,TRIM(L25&amp;"")&lt;&gt;"—"),"PASS","⚠ FAIL — "&amp;"a required cell is empty/placeholder or wrong type")</f>
        <v>PASS</v>
      </c>
    </row>
    <row r="26" customFormat="false" ht="43.5" hidden="false" customHeight="true" outlineLevel="0" collapsed="false">
      <c r="A26" s="11" t="s">
        <v>1956</v>
      </c>
      <c r="B26" s="11" t="str">
        <f aca="false">'Part names'!$B$25</f>
        <v>Drain Collection Sump</v>
      </c>
      <c r="C26" s="11" t="str">
        <f aca="false">'Part names'!$B$38</f>
        <v>Gac Softener</v>
      </c>
      <c r="D26" s="11" t="s">
        <v>1913</v>
      </c>
      <c r="E26" s="11" t="s">
        <v>1914</v>
      </c>
      <c r="F26" s="92" t="n">
        <v>1.304</v>
      </c>
      <c r="G26" s="11" t="s">
        <v>1915</v>
      </c>
      <c r="H26" s="59" t="n">
        <v>9.38</v>
      </c>
      <c r="I26" s="93" t="str">
        <f aca="false">IF(ISNUMBER($M26),IF(AND(ISNUMBER($F26),$F26&lt;=$M26),"✓","✗"),IF(LEN(TRIM($N26&amp;""))=0,"n/a","✗"))</f>
        <v>✓</v>
      </c>
      <c r="J26" s="36" t="n">
        <v>672.8</v>
      </c>
      <c r="K26" s="68" t="s">
        <v>1957</v>
      </c>
      <c r="L26" s="69" t="str">
        <f aca="false">IF(AND(OR($I26="✓",$I26="n/a"),LEN(TRIM($N26&amp;""))=0),"PASS","FAIL — "&amp;IF(LEN(TRIM($N26&amp;""))&gt;0,TRIM($N26&amp;""),"velocity/ΔU outside its band or unverifiable"))</f>
        <v>PASS</v>
      </c>
      <c r="M26" s="84" t="n">
        <v>3</v>
      </c>
      <c r="N26" s="70"/>
      <c r="O26" s="16" t="str">
        <f aca="false">IF(AND(LEN(TRIM(A26&amp;""))&gt;0,TRIM(A26&amp;"")&lt;&gt;"—",LEN(TRIM(B26&amp;""))&gt;0,TRIM(B26&amp;"")&lt;&gt;"—",LEN(TRIM(C26&amp;""))&gt;0,TRIM(C26&amp;"")&lt;&gt;"—",LEN(TRIM(D26&amp;""))&gt;0,TRIM(D26&amp;"")&lt;&gt;"—",LEN(TRIM(I26&amp;""))&gt;0,TRIM(I26&amp;"")&lt;&gt;"—",LEN(TRIM(K26&amp;""))&gt;0,TRIM(K26&amp;"")&lt;&gt;"—",LEN(TRIM(L26&amp;""))&gt;0,TRIM(L26&amp;"")&lt;&gt;"—"),"PASS","⚠ FAIL — "&amp;"a required cell is empty/placeholder or wrong type")</f>
        <v>PASS</v>
      </c>
    </row>
    <row r="27" customFormat="false" ht="43.5" hidden="false" customHeight="true" outlineLevel="0" collapsed="false">
      <c r="A27" s="11" t="s">
        <v>1958</v>
      </c>
      <c r="B27" s="11" t="str">
        <f aca="false">'Part names'!$B$25</f>
        <v>Drain Collection Sump</v>
      </c>
      <c r="C27" s="11" t="str">
        <f aca="false">'Part names'!$B$47</f>
        <v>Irrigation Pump</v>
      </c>
      <c r="D27" s="11" t="s">
        <v>1932</v>
      </c>
      <c r="E27" s="11" t="s">
        <v>1938</v>
      </c>
      <c r="F27" s="92" t="n">
        <v>1.34</v>
      </c>
      <c r="G27" s="11" t="s">
        <v>1915</v>
      </c>
      <c r="H27" s="59" t="n">
        <v>26.68</v>
      </c>
      <c r="I27" s="93" t="str">
        <f aca="false">IF(ISNUMBER($M27),IF(AND(ISNUMBER($F27),$F27&lt;=$M27),"✓","✗"),IF(LEN(TRIM($N27&amp;""))=0,"n/a","✗"))</f>
        <v>✓</v>
      </c>
      <c r="J27" s="36" t="n">
        <v>4742.2</v>
      </c>
      <c r="K27" s="68" t="s">
        <v>1959</v>
      </c>
      <c r="L27" s="69" t="str">
        <f aca="false">IF(AND(OR($I27="✓",$I27="n/a"),LEN(TRIM($N27&amp;""))=0),"PASS","FAIL — "&amp;IF(LEN(TRIM($N27&amp;""))&gt;0,TRIM($N27&amp;""),"velocity/ΔU outside its band or unverifiable"))</f>
        <v>PASS</v>
      </c>
      <c r="M27" s="84" t="n">
        <v>3</v>
      </c>
      <c r="N27" s="70"/>
      <c r="O27" s="16" t="str">
        <f aca="false">IF(AND(LEN(TRIM(A27&amp;""))&gt;0,TRIM(A27&amp;"")&lt;&gt;"—",LEN(TRIM(B27&amp;""))&gt;0,TRIM(B27&amp;"")&lt;&gt;"—",LEN(TRIM(C27&amp;""))&gt;0,TRIM(C27&amp;"")&lt;&gt;"—",LEN(TRIM(D27&amp;""))&gt;0,TRIM(D27&amp;"")&lt;&gt;"—",LEN(TRIM(I27&amp;""))&gt;0,TRIM(I27&amp;"")&lt;&gt;"—",LEN(TRIM(K27&amp;""))&gt;0,TRIM(K27&amp;"")&lt;&gt;"—",LEN(TRIM(L27&amp;""))&gt;0,TRIM(L27&amp;"")&lt;&gt;"—"),"PASS","⚠ FAIL — "&amp;"a required cell is empty/placeholder or wrong type")</f>
        <v>PASS</v>
      </c>
    </row>
    <row r="28" customFormat="false" ht="43.5" hidden="false" customHeight="true" outlineLevel="0" collapsed="false">
      <c r="A28" s="11" t="s">
        <v>1960</v>
      </c>
      <c r="B28" s="11" t="str">
        <f aca="false">'Part names'!$B$25</f>
        <v>Drain Collection Sump</v>
      </c>
      <c r="C28" s="11" t="str">
        <f aca="false">'Part names'!$B$81</f>
        <v>Reverse Osmosis Skid</v>
      </c>
      <c r="D28" s="11" t="s">
        <v>1918</v>
      </c>
      <c r="E28" s="11" t="s">
        <v>1919</v>
      </c>
      <c r="F28" s="92" t="n">
        <v>0.968</v>
      </c>
      <c r="G28" s="11" t="s">
        <v>1915</v>
      </c>
      <c r="H28" s="59" t="n">
        <v>3.73</v>
      </c>
      <c r="I28" s="93" t="str">
        <f aca="false">IF(ISNUMBER($M28),IF(AND(ISNUMBER($F28),$F28&lt;=$M28),"✓","✗"),IF(LEN(TRIM($N28&amp;""))=0,"n/a","✗"))</f>
        <v>✓</v>
      </c>
      <c r="J28" s="36" t="n">
        <v>744.9</v>
      </c>
      <c r="K28" s="68" t="s">
        <v>1961</v>
      </c>
      <c r="L28" s="69" t="str">
        <f aca="false">IF(AND(OR($I28="✓",$I28="n/a"),LEN(TRIM($N28&amp;""))=0),"PASS","FAIL — "&amp;IF(LEN(TRIM($N28&amp;""))&gt;0,TRIM($N28&amp;""),"velocity/ΔU outside its band or unverifiable"))</f>
        <v>PASS</v>
      </c>
      <c r="M28" s="84" t="n">
        <v>3</v>
      </c>
      <c r="N28" s="70"/>
      <c r="O28" s="16" t="str">
        <f aca="false">IF(AND(LEN(TRIM(A28&amp;""))&gt;0,TRIM(A28&amp;"")&lt;&gt;"—",LEN(TRIM(B28&amp;""))&gt;0,TRIM(B28&amp;"")&lt;&gt;"—",LEN(TRIM(C28&amp;""))&gt;0,TRIM(C28&amp;"")&lt;&gt;"—",LEN(TRIM(D28&amp;""))&gt;0,TRIM(D28&amp;"")&lt;&gt;"—",LEN(TRIM(I28&amp;""))&gt;0,TRIM(I28&amp;"")&lt;&gt;"—",LEN(TRIM(K28&amp;""))&gt;0,TRIM(K28&amp;"")&lt;&gt;"—",LEN(TRIM(L28&amp;""))&gt;0,TRIM(L28&amp;"")&lt;&gt;"—"),"PASS","⚠ FAIL — "&amp;"a required cell is empty/placeholder or wrong type")</f>
        <v>PASS</v>
      </c>
    </row>
    <row r="29" customFormat="false" ht="43.5" hidden="false" customHeight="true" outlineLevel="0" collapsed="false">
      <c r="A29" s="11" t="s">
        <v>1962</v>
      </c>
      <c r="B29" s="11" t="str">
        <f aca="false">'Part names'!$B$25</f>
        <v>Drain Collection Sump</v>
      </c>
      <c r="C29" s="11" t="str">
        <f aca="false">'Part names'!$B$82</f>
        <v>Ro High Pressure Pump</v>
      </c>
      <c r="D29" s="11" t="s">
        <v>1922</v>
      </c>
      <c r="E29" s="11" t="s">
        <v>1923</v>
      </c>
      <c r="F29" s="92" t="n">
        <v>1.412</v>
      </c>
      <c r="G29" s="11" t="s">
        <v>1915</v>
      </c>
      <c r="H29" s="59" t="n">
        <v>30.42</v>
      </c>
      <c r="I29" s="93" t="str">
        <f aca="false">IF(ISNUMBER($M29),IF(AND(ISNUMBER($F29),$F29&lt;=$M29),"✓","✗"),IF(LEN(TRIM($N29&amp;""))=0,"n/a","✗"))</f>
        <v>✓</v>
      </c>
      <c r="J29" s="36" t="n">
        <v>1544.16</v>
      </c>
      <c r="K29" s="68" t="s">
        <v>1963</v>
      </c>
      <c r="L29" s="69" t="str">
        <f aca="false">IF(AND(OR($I29="✓",$I29="n/a"),LEN(TRIM($N29&amp;""))=0),"PASS","FAIL — "&amp;IF(LEN(TRIM($N29&amp;""))&gt;0,TRIM($N29&amp;""),"velocity/ΔU outside its band or unverifiable"))</f>
        <v>PASS</v>
      </c>
      <c r="M29" s="84" t="n">
        <v>3</v>
      </c>
      <c r="N29" s="70"/>
      <c r="O29" s="16" t="str">
        <f aca="false">IF(AND(LEN(TRIM(A29&amp;""))&gt;0,TRIM(A29&amp;"")&lt;&gt;"—",LEN(TRIM(B29&amp;""))&gt;0,TRIM(B29&amp;"")&lt;&gt;"—",LEN(TRIM(C29&amp;""))&gt;0,TRIM(C29&amp;"")&lt;&gt;"—",LEN(TRIM(D29&amp;""))&gt;0,TRIM(D29&amp;"")&lt;&gt;"—",LEN(TRIM(I29&amp;""))&gt;0,TRIM(I29&amp;"")&lt;&gt;"—",LEN(TRIM(K29&amp;""))&gt;0,TRIM(K29&amp;"")&lt;&gt;"—",LEN(TRIM(L29&amp;""))&gt;0,TRIM(L29&amp;"")&lt;&gt;"—"),"PASS","⚠ FAIL — "&amp;"a required cell is empty/placeholder or wrong type")</f>
        <v>PASS</v>
      </c>
    </row>
    <row r="30" customFormat="false" ht="43.5" hidden="false" customHeight="true" outlineLevel="0" collapsed="false">
      <c r="A30" s="11" t="s">
        <v>1964</v>
      </c>
      <c r="B30" s="11" t="str">
        <f aca="false">'Part names'!$B$25</f>
        <v>Drain Collection Sump</v>
      </c>
      <c r="C30" s="11" t="str">
        <f aca="false">'Part names'!$B$37</f>
        <v>Gac Filter</v>
      </c>
      <c r="D30" s="11" t="s">
        <v>1918</v>
      </c>
      <c r="E30" s="11" t="s">
        <v>1919</v>
      </c>
      <c r="F30" s="92" t="n">
        <v>0.968</v>
      </c>
      <c r="G30" s="11" t="s">
        <v>1915</v>
      </c>
      <c r="H30" s="59" t="n">
        <v>23.98</v>
      </c>
      <c r="I30" s="93" t="str">
        <f aca="false">IF(ISNUMBER($M30),IF(AND(ISNUMBER($F30),$F30&lt;=$M30),"✓","✗"),IF(LEN(TRIM($N30&amp;""))=0,"n/a","✗"))</f>
        <v>✓</v>
      </c>
      <c r="J30" s="36" t="n">
        <v>3377.4</v>
      </c>
      <c r="K30" s="68" t="s">
        <v>1965</v>
      </c>
      <c r="L30" s="69" t="str">
        <f aca="false">IF(AND(OR($I30="✓",$I30="n/a"),LEN(TRIM($N30&amp;""))=0),"PASS","FAIL — "&amp;IF(LEN(TRIM($N30&amp;""))&gt;0,TRIM($N30&amp;""),"velocity/ΔU outside its band or unverifiable"))</f>
        <v>PASS</v>
      </c>
      <c r="M30" s="84" t="n">
        <v>3</v>
      </c>
      <c r="N30" s="70"/>
      <c r="O30" s="16" t="str">
        <f aca="false">IF(AND(LEN(TRIM(A30&amp;""))&gt;0,TRIM(A30&amp;"")&lt;&gt;"—",LEN(TRIM(B30&amp;""))&gt;0,TRIM(B30&amp;"")&lt;&gt;"—",LEN(TRIM(C30&amp;""))&gt;0,TRIM(C30&amp;"")&lt;&gt;"—",LEN(TRIM(D30&amp;""))&gt;0,TRIM(D30&amp;"")&lt;&gt;"—",LEN(TRIM(I30&amp;""))&gt;0,TRIM(I30&amp;"")&lt;&gt;"—",LEN(TRIM(K30&amp;""))&gt;0,TRIM(K30&amp;"")&lt;&gt;"—",LEN(TRIM(L30&amp;""))&gt;0,TRIM(L30&amp;"")&lt;&gt;"—"),"PASS","⚠ FAIL — "&amp;"a required cell is empty/placeholder or wrong type")</f>
        <v>PASS</v>
      </c>
    </row>
    <row r="31" customFormat="false" ht="43.5" hidden="false" customHeight="true" outlineLevel="0" collapsed="false">
      <c r="A31" s="11" t="s">
        <v>1966</v>
      </c>
      <c r="B31" s="11" t="str">
        <f aca="false">'Part names'!$B$25</f>
        <v>Drain Collection Sump</v>
      </c>
      <c r="C31" s="11" t="str">
        <f aca="false">'Part names'!$B$96</f>
        <v>Uf Module Bank</v>
      </c>
      <c r="D31" s="11" t="s">
        <v>1918</v>
      </c>
      <c r="E31" s="11" t="s">
        <v>1919</v>
      </c>
      <c r="F31" s="92" t="n">
        <v>0.968</v>
      </c>
      <c r="G31" s="11" t="s">
        <v>1915</v>
      </c>
      <c r="H31" s="59" t="n">
        <v>8.59</v>
      </c>
      <c r="I31" s="93" t="str">
        <f aca="false">IF(ISNUMBER($M31),IF(AND(ISNUMBER($F31),$F31&lt;=$M31),"✓","✗"),IF(LEN(TRIM($N31&amp;""))=0,"n/a","✗"))</f>
        <v>✓</v>
      </c>
      <c r="J31" s="36" t="n">
        <v>1376.7</v>
      </c>
      <c r="K31" s="68" t="s">
        <v>1967</v>
      </c>
      <c r="L31" s="69" t="str">
        <f aca="false">IF(AND(OR($I31="✓",$I31="n/a"),LEN(TRIM($N31&amp;""))=0),"PASS","FAIL — "&amp;IF(LEN(TRIM($N31&amp;""))&gt;0,TRIM($N31&amp;""),"velocity/ΔU outside its band or unverifiable"))</f>
        <v>PASS</v>
      </c>
      <c r="M31" s="84" t="n">
        <v>3</v>
      </c>
      <c r="N31" s="70"/>
      <c r="O31" s="16" t="str">
        <f aca="false">IF(AND(LEN(TRIM(A31&amp;""))&gt;0,TRIM(A31&amp;"")&lt;&gt;"—",LEN(TRIM(B31&amp;""))&gt;0,TRIM(B31&amp;"")&lt;&gt;"—",LEN(TRIM(C31&amp;""))&gt;0,TRIM(C31&amp;"")&lt;&gt;"—",LEN(TRIM(D31&amp;""))&gt;0,TRIM(D31&amp;"")&lt;&gt;"—",LEN(TRIM(I31&amp;""))&gt;0,TRIM(I31&amp;"")&lt;&gt;"—",LEN(TRIM(K31&amp;""))&gt;0,TRIM(K31&amp;"")&lt;&gt;"—",LEN(TRIM(L31&amp;""))&gt;0,TRIM(L31&amp;"")&lt;&gt;"—"),"PASS","⚠ FAIL — "&amp;"a required cell is empty/placeholder or wrong type")</f>
        <v>PASS</v>
      </c>
    </row>
    <row r="32" customFormat="false" ht="43.5" hidden="false" customHeight="true" outlineLevel="0" collapsed="false">
      <c r="A32" s="11" t="s">
        <v>1968</v>
      </c>
      <c r="B32" s="11" t="str">
        <f aca="false">'Part names'!$B$25</f>
        <v>Drain Collection Sump</v>
      </c>
      <c r="C32" s="11" t="str">
        <f aca="false">'Part names'!$B$14</f>
        <v>Cip Tank</v>
      </c>
      <c r="D32" s="11" t="s">
        <v>1969</v>
      </c>
      <c r="E32" s="11" t="s">
        <v>1970</v>
      </c>
      <c r="F32" s="92" t="n">
        <v>1.148</v>
      </c>
      <c r="G32" s="11" t="s">
        <v>1915</v>
      </c>
      <c r="H32" s="59" t="n">
        <v>20.31</v>
      </c>
      <c r="I32" s="93" t="str">
        <f aca="false">IF(ISNUMBER($M32),IF(AND(ISNUMBER($F32),$F32&lt;=$M32),"✓","✗"),IF(LEN(TRIM($N32&amp;""))=0,"n/a","✗"))</f>
        <v>✓</v>
      </c>
      <c r="J32" s="36" t="n">
        <v>742.54</v>
      </c>
      <c r="K32" s="68" t="s">
        <v>1971</v>
      </c>
      <c r="L32" s="69" t="str">
        <f aca="false">IF(AND(OR($I32="✓",$I32="n/a"),LEN(TRIM($N32&amp;""))=0),"PASS","FAIL — "&amp;IF(LEN(TRIM($N32&amp;""))&gt;0,TRIM($N32&amp;""),"velocity/ΔU outside its band or unverifiable"))</f>
        <v>PASS</v>
      </c>
      <c r="M32" s="84" t="n">
        <v>3</v>
      </c>
      <c r="N32" s="70"/>
      <c r="O32" s="16" t="str">
        <f aca="false">IF(AND(LEN(TRIM(A32&amp;""))&gt;0,TRIM(A32&amp;"")&lt;&gt;"—",LEN(TRIM(B32&amp;""))&gt;0,TRIM(B32&amp;"")&lt;&gt;"—",LEN(TRIM(C32&amp;""))&gt;0,TRIM(C32&amp;"")&lt;&gt;"—",LEN(TRIM(D32&amp;""))&gt;0,TRIM(D32&amp;"")&lt;&gt;"—",LEN(TRIM(I32&amp;""))&gt;0,TRIM(I32&amp;"")&lt;&gt;"—",LEN(TRIM(K32&amp;""))&gt;0,TRIM(K32&amp;"")&lt;&gt;"—",LEN(TRIM(L32&amp;""))&gt;0,TRIM(L32&amp;"")&lt;&gt;"—"),"PASS","⚠ FAIL — "&amp;"a required cell is empty/placeholder or wrong type")</f>
        <v>PASS</v>
      </c>
    </row>
    <row r="33" customFormat="false" ht="43.5" hidden="false" customHeight="true" outlineLevel="0" collapsed="false">
      <c r="A33" s="11" t="s">
        <v>1972</v>
      </c>
      <c r="B33" s="11" t="str">
        <f aca="false">'Part names'!$B$25</f>
        <v>Drain Collection Sump</v>
      </c>
      <c r="C33" s="11" t="str">
        <f aca="false">'Part names'!$B$14</f>
        <v>Cip Tank</v>
      </c>
      <c r="D33" s="11" t="s">
        <v>1969</v>
      </c>
      <c r="E33" s="11" t="s">
        <v>1970</v>
      </c>
      <c r="F33" s="92" t="n">
        <v>1.148</v>
      </c>
      <c r="G33" s="11" t="s">
        <v>1915</v>
      </c>
      <c r="H33" s="59" t="n">
        <v>23.93</v>
      </c>
      <c r="I33" s="93" t="str">
        <f aca="false">IF(ISNUMBER($M33),IF(AND(ISNUMBER($F33),$F33&lt;=$M33),"✓","✗"),IF(LEN(TRIM($N33&amp;""))=0,"n/a","✗"))</f>
        <v>✓</v>
      </c>
      <c r="J33" s="36" t="n">
        <v>865.62</v>
      </c>
      <c r="K33" s="68" t="s">
        <v>1973</v>
      </c>
      <c r="L33" s="69" t="str">
        <f aca="false">IF(AND(OR($I33="✓",$I33="n/a"),LEN(TRIM($N33&amp;""))=0),"PASS","FAIL — "&amp;IF(LEN(TRIM($N33&amp;""))&gt;0,TRIM($N33&amp;""),"velocity/ΔU outside its band or unverifiable"))</f>
        <v>PASS</v>
      </c>
      <c r="M33" s="84" t="n">
        <v>3</v>
      </c>
      <c r="N33" s="70"/>
      <c r="O33" s="16" t="str">
        <f aca="false">IF(AND(LEN(TRIM(A33&amp;""))&gt;0,TRIM(A33&amp;"")&lt;&gt;"—",LEN(TRIM(B33&amp;""))&gt;0,TRIM(B33&amp;"")&lt;&gt;"—",LEN(TRIM(C33&amp;""))&gt;0,TRIM(C33&amp;"")&lt;&gt;"—",LEN(TRIM(D33&amp;""))&gt;0,TRIM(D33&amp;"")&lt;&gt;"—",LEN(TRIM(I33&amp;""))&gt;0,TRIM(I33&amp;"")&lt;&gt;"—",LEN(TRIM(K33&amp;""))&gt;0,TRIM(K33&amp;"")&lt;&gt;"—",LEN(TRIM(L33&amp;""))&gt;0,TRIM(L33&amp;"")&lt;&gt;"—"),"PASS","⚠ FAIL — "&amp;"a required cell is empty/placeholder or wrong type")</f>
        <v>PASS</v>
      </c>
    </row>
    <row r="34" customFormat="false" ht="43.5" hidden="false" customHeight="true" outlineLevel="0" collapsed="false">
      <c r="A34" s="11" t="s">
        <v>1974</v>
      </c>
      <c r="B34" s="11" t="str">
        <f aca="false">'Part names'!$B$27</f>
        <v>Drain Water Tank</v>
      </c>
      <c r="C34" s="11" t="str">
        <f aca="false">'Part names'!$B$26</f>
        <v>Drain Transfer Pump</v>
      </c>
      <c r="D34" s="11" t="s">
        <v>1918</v>
      </c>
      <c r="E34" s="11" t="s">
        <v>1919</v>
      </c>
      <c r="F34" s="92" t="n">
        <v>0.968</v>
      </c>
      <c r="G34" s="11" t="s">
        <v>1915</v>
      </c>
      <c r="H34" s="59" t="n">
        <v>27.54</v>
      </c>
      <c r="I34" s="93" t="str">
        <f aca="false">IF(ISNUMBER($M34),IF(AND(ISNUMBER($F34),$F34&lt;=$M34),"✓","✗"),IF(LEN(TRIM($N34&amp;""))=0,"n/a","✗"))</f>
        <v>✓</v>
      </c>
      <c r="J34" s="36" t="n">
        <v>3840.2</v>
      </c>
      <c r="K34" s="68" t="s">
        <v>1975</v>
      </c>
      <c r="L34" s="69" t="str">
        <f aca="false">IF(AND(OR($I34="✓",$I34="n/a"),LEN(TRIM($N34&amp;""))=0),"PASS","FAIL — "&amp;IF(LEN(TRIM($N34&amp;""))&gt;0,TRIM($N34&amp;""),"velocity/ΔU outside its band or unverifiable"))</f>
        <v>PASS</v>
      </c>
      <c r="M34" s="84" t="n">
        <v>3</v>
      </c>
      <c r="N34" s="70"/>
      <c r="O34" s="16" t="str">
        <f aca="false">IF(AND(LEN(TRIM(A34&amp;""))&gt;0,TRIM(A34&amp;"")&lt;&gt;"—",LEN(TRIM(B34&amp;""))&gt;0,TRIM(B34&amp;"")&lt;&gt;"—",LEN(TRIM(C34&amp;""))&gt;0,TRIM(C34&amp;"")&lt;&gt;"—",LEN(TRIM(D34&amp;""))&gt;0,TRIM(D34&amp;"")&lt;&gt;"—",LEN(TRIM(I34&amp;""))&gt;0,TRIM(I34&amp;"")&lt;&gt;"—",LEN(TRIM(K34&amp;""))&gt;0,TRIM(K34&amp;"")&lt;&gt;"—",LEN(TRIM(L34&amp;""))&gt;0,TRIM(L34&amp;"")&lt;&gt;"—"),"PASS","⚠ FAIL — "&amp;"a required cell is empty/placeholder or wrong type")</f>
        <v>PASS</v>
      </c>
    </row>
    <row r="35" customFormat="false" ht="43.5" hidden="false" customHeight="true" outlineLevel="0" collapsed="false">
      <c r="A35" s="11" t="s">
        <v>1976</v>
      </c>
      <c r="B35" s="11" t="str">
        <f aca="false">'Part names'!$B$26</f>
        <v>Drain Transfer Pump</v>
      </c>
      <c r="C35" s="11" t="str">
        <f aca="false">'Part names'!$B$14</f>
        <v>Cip Tank</v>
      </c>
      <c r="D35" s="11" t="s">
        <v>1969</v>
      </c>
      <c r="E35" s="11" t="s">
        <v>1970</v>
      </c>
      <c r="F35" s="92" t="n">
        <v>1.148</v>
      </c>
      <c r="G35" s="11" t="s">
        <v>1915</v>
      </c>
      <c r="H35" s="59" t="n">
        <v>27.53</v>
      </c>
      <c r="I35" s="93" t="str">
        <f aca="false">IF(ISNUMBER($M35),IF(AND(ISNUMBER($F35),$F35&lt;=$M35),"✓","✗"),IF(LEN(TRIM($N35&amp;""))=0,"n/a","✗"))</f>
        <v>✓</v>
      </c>
      <c r="J35" s="36" t="n">
        <v>988.02</v>
      </c>
      <c r="K35" s="68" t="s">
        <v>1977</v>
      </c>
      <c r="L35" s="69" t="str">
        <f aca="false">IF(AND(OR($I35="✓",$I35="n/a"),LEN(TRIM($N35&amp;""))=0),"PASS","FAIL — "&amp;IF(LEN(TRIM($N35&amp;""))&gt;0,TRIM($N35&amp;""),"velocity/ΔU outside its band or unverifiable"))</f>
        <v>PASS</v>
      </c>
      <c r="M35" s="84" t="n">
        <v>3</v>
      </c>
      <c r="N35" s="70"/>
      <c r="O35" s="16" t="str">
        <f aca="false">IF(AND(LEN(TRIM(A35&amp;""))&gt;0,TRIM(A35&amp;"")&lt;&gt;"—",LEN(TRIM(B35&amp;""))&gt;0,TRIM(B35&amp;"")&lt;&gt;"—",LEN(TRIM(C35&amp;""))&gt;0,TRIM(C35&amp;"")&lt;&gt;"—",LEN(TRIM(D35&amp;""))&gt;0,TRIM(D35&amp;"")&lt;&gt;"—",LEN(TRIM(I35&amp;""))&gt;0,TRIM(I35&amp;"")&lt;&gt;"—",LEN(TRIM(K35&amp;""))&gt;0,TRIM(K35&amp;"")&lt;&gt;"—",LEN(TRIM(L35&amp;""))&gt;0,TRIM(L35&amp;"")&lt;&gt;"—"),"PASS","⚠ FAIL — "&amp;"a required cell is empty/placeholder or wrong type")</f>
        <v>PASS</v>
      </c>
    </row>
    <row r="36" customFormat="false" ht="43.5" hidden="false" customHeight="true" outlineLevel="0" collapsed="false">
      <c r="A36" s="11" t="s">
        <v>1978</v>
      </c>
      <c r="B36" s="11" t="str">
        <f aca="false">'Part names'!$B$14</f>
        <v>Cip Tank</v>
      </c>
      <c r="C36" s="11" t="str">
        <f aca="false">'Part names'!$B$14</f>
        <v>Cip Tank</v>
      </c>
      <c r="D36" s="11" t="s">
        <v>1969</v>
      </c>
      <c r="E36" s="11" t="s">
        <v>1970</v>
      </c>
      <c r="F36" s="92" t="n">
        <v>1.148</v>
      </c>
      <c r="G36" s="11" t="s">
        <v>1915</v>
      </c>
      <c r="H36" s="59" t="n">
        <v>3.33</v>
      </c>
      <c r="I36" s="93" t="str">
        <f aca="false">IF(ISNUMBER($M36),IF(AND(ISNUMBER($F36),$F36&lt;=$M36),"✓","✗"),IF(LEN(TRIM($N36&amp;""))=0,"n/a","✗"))</f>
        <v>✓</v>
      </c>
      <c r="J36" s="36" t="n">
        <v>165.22</v>
      </c>
      <c r="K36" s="68" t="s">
        <v>1979</v>
      </c>
      <c r="L36" s="69" t="str">
        <f aca="false">IF(AND(OR($I36="✓",$I36="n/a"),LEN(TRIM($N36&amp;""))=0),"PASS","FAIL — "&amp;IF(LEN(TRIM($N36&amp;""))&gt;0,TRIM($N36&amp;""),"velocity/ΔU outside its band or unverifiable"))</f>
        <v>PASS</v>
      </c>
      <c r="M36" s="84" t="n">
        <v>3</v>
      </c>
      <c r="N36" s="70"/>
      <c r="O36" s="16" t="str">
        <f aca="false">IF(AND(LEN(TRIM(A36&amp;""))&gt;0,TRIM(A36&amp;"")&lt;&gt;"—",LEN(TRIM(B36&amp;""))&gt;0,TRIM(B36&amp;"")&lt;&gt;"—",LEN(TRIM(C36&amp;""))&gt;0,TRIM(C36&amp;"")&lt;&gt;"—",LEN(TRIM(D36&amp;""))&gt;0,TRIM(D36&amp;"")&lt;&gt;"—",LEN(TRIM(I36&amp;""))&gt;0,TRIM(I36&amp;"")&lt;&gt;"—",LEN(TRIM(K36&amp;""))&gt;0,TRIM(K36&amp;"")&lt;&gt;"—",LEN(TRIM(L36&amp;""))&gt;0,TRIM(L36&amp;"")&lt;&gt;"—"),"PASS","⚠ FAIL — "&amp;"a required cell is empty/placeholder or wrong type")</f>
        <v>PASS</v>
      </c>
    </row>
    <row r="37" customFormat="false" ht="43.5" hidden="false" customHeight="true" outlineLevel="0" collapsed="false">
      <c r="A37" s="11" t="s">
        <v>1980</v>
      </c>
      <c r="B37" s="11" t="str">
        <f aca="false">'Part names'!$B$14</f>
        <v>Cip Tank</v>
      </c>
      <c r="C37" s="11" t="str">
        <f aca="false">'Part names'!$B$25</f>
        <v>Drain Collection Sump</v>
      </c>
      <c r="D37" s="11" t="s">
        <v>1918</v>
      </c>
      <c r="E37" s="11" t="s">
        <v>1919</v>
      </c>
      <c r="F37" s="92" t="n">
        <v>0.968</v>
      </c>
      <c r="G37" s="11" t="s">
        <v>1915</v>
      </c>
      <c r="H37" s="59" t="n">
        <v>20.64</v>
      </c>
      <c r="I37" s="93" t="str">
        <f aca="false">IF(ISNUMBER($M37),IF(AND(ISNUMBER($F37),$F37&lt;=$M37),"✓","✗"),IF(LEN(TRIM($N37&amp;""))=0,"n/a","✗"))</f>
        <v>✓</v>
      </c>
      <c r="J37" s="36" t="n">
        <v>2943.2</v>
      </c>
      <c r="K37" s="68" t="s">
        <v>1981</v>
      </c>
      <c r="L37" s="69" t="str">
        <f aca="false">IF(AND(OR($I37="✓",$I37="n/a"),LEN(TRIM($N37&amp;""))=0),"PASS","FAIL — "&amp;IF(LEN(TRIM($N37&amp;""))&gt;0,TRIM($N37&amp;""),"velocity/ΔU outside its band or unverifiable"))</f>
        <v>PASS</v>
      </c>
      <c r="M37" s="84" t="n">
        <v>3</v>
      </c>
      <c r="N37" s="70"/>
      <c r="O37" s="16" t="str">
        <f aca="false">IF(AND(LEN(TRIM(A37&amp;""))&gt;0,TRIM(A37&amp;"")&lt;&gt;"—",LEN(TRIM(B37&amp;""))&gt;0,TRIM(B37&amp;"")&lt;&gt;"—",LEN(TRIM(C37&amp;""))&gt;0,TRIM(C37&amp;"")&lt;&gt;"—",LEN(TRIM(D37&amp;""))&gt;0,TRIM(D37&amp;"")&lt;&gt;"—",LEN(TRIM(I37&amp;""))&gt;0,TRIM(I37&amp;"")&lt;&gt;"—",LEN(TRIM(K37&amp;""))&gt;0,TRIM(K37&amp;"")&lt;&gt;"—",LEN(TRIM(L37&amp;""))&gt;0,TRIM(L37&amp;"")&lt;&gt;"—"),"PASS","⚠ FAIL — "&amp;"a required cell is empty/placeholder or wrong type")</f>
        <v>PASS</v>
      </c>
    </row>
    <row r="38" customFormat="false" ht="43.5" hidden="false" customHeight="true" outlineLevel="0" collapsed="false">
      <c r="A38" s="11" t="s">
        <v>1982</v>
      </c>
      <c r="B38" s="11" t="str">
        <f aca="false">'Part names'!$B$14</f>
        <v>Cip Tank</v>
      </c>
      <c r="C38" s="11" t="str">
        <f aca="false">'Part names'!$B$36</f>
        <v>Fresh Water Tank</v>
      </c>
      <c r="D38" s="11" t="s">
        <v>1969</v>
      </c>
      <c r="E38" s="11" t="s">
        <v>1970</v>
      </c>
      <c r="F38" s="92" t="n">
        <v>1.148</v>
      </c>
      <c r="G38" s="11" t="s">
        <v>1915</v>
      </c>
      <c r="H38" s="59" t="n">
        <v>13.88</v>
      </c>
      <c r="I38" s="93" t="str">
        <f aca="false">IF(ISNUMBER($M38),IF(AND(ISNUMBER($F38),$F38&lt;=$M38),"✓","✗"),IF(LEN(TRIM($N38&amp;""))=0,"n/a","✗"))</f>
        <v>✓</v>
      </c>
      <c r="J38" s="36" t="n">
        <v>523.92</v>
      </c>
      <c r="K38" s="68" t="s">
        <v>1983</v>
      </c>
      <c r="L38" s="69" t="str">
        <f aca="false">IF(AND(OR($I38="✓",$I38="n/a"),LEN(TRIM($N38&amp;""))=0),"PASS","FAIL — "&amp;IF(LEN(TRIM($N38&amp;""))&gt;0,TRIM($N38&amp;""),"velocity/ΔU outside its band or unverifiable"))</f>
        <v>PASS</v>
      </c>
      <c r="M38" s="84" t="n">
        <v>3</v>
      </c>
      <c r="N38" s="70"/>
      <c r="O38" s="16" t="str">
        <f aca="false">IF(AND(LEN(TRIM(A38&amp;""))&gt;0,TRIM(A38&amp;"")&lt;&gt;"—",LEN(TRIM(B38&amp;""))&gt;0,TRIM(B38&amp;"")&lt;&gt;"—",LEN(TRIM(C38&amp;""))&gt;0,TRIM(C38&amp;"")&lt;&gt;"—",LEN(TRIM(D38&amp;""))&gt;0,TRIM(D38&amp;"")&lt;&gt;"—",LEN(TRIM(I38&amp;""))&gt;0,TRIM(I38&amp;"")&lt;&gt;"—",LEN(TRIM(K38&amp;""))&gt;0,TRIM(K38&amp;"")&lt;&gt;"—",LEN(TRIM(L38&amp;""))&gt;0,TRIM(L38&amp;"")&lt;&gt;"—"),"PASS","⚠ FAIL — "&amp;"a required cell is empty/placeholder or wrong type")</f>
        <v>PASS</v>
      </c>
    </row>
    <row r="39" customFormat="false" ht="43.5" hidden="false" customHeight="true" outlineLevel="0" collapsed="false">
      <c r="A39" s="11" t="s">
        <v>1984</v>
      </c>
      <c r="B39" s="11" t="str">
        <f aca="false">'Part names'!$B$14</f>
        <v>Cip Tank</v>
      </c>
      <c r="C39" s="11" t="str">
        <f aca="false">'Part names'!$B$25</f>
        <v>Drain Collection Sump</v>
      </c>
      <c r="D39" s="11" t="s">
        <v>1918</v>
      </c>
      <c r="E39" s="11" t="s">
        <v>1919</v>
      </c>
      <c r="F39" s="92" t="n">
        <v>0.968</v>
      </c>
      <c r="G39" s="11" t="s">
        <v>1915</v>
      </c>
      <c r="H39" s="59" t="n">
        <v>24.48</v>
      </c>
      <c r="I39" s="93" t="str">
        <f aca="false">IF(ISNUMBER($M39),IF(AND(ISNUMBER($F39),$F39&lt;=$M39),"✓","✗"),IF(LEN(TRIM($N39&amp;""))=0,"n/a","✗"))</f>
        <v>✓</v>
      </c>
      <c r="J39" s="36" t="n">
        <v>3442.4</v>
      </c>
      <c r="K39" s="68" t="s">
        <v>1985</v>
      </c>
      <c r="L39" s="69" t="str">
        <f aca="false">IF(AND(OR($I39="✓",$I39="n/a"),LEN(TRIM($N39&amp;""))=0),"PASS","FAIL — "&amp;IF(LEN(TRIM($N39&amp;""))&gt;0,TRIM($N39&amp;""),"velocity/ΔU outside its band or unverifiable"))</f>
        <v>PASS</v>
      </c>
      <c r="M39" s="84" t="n">
        <v>3</v>
      </c>
      <c r="N39" s="70"/>
      <c r="O39" s="16" t="str">
        <f aca="false">IF(AND(LEN(TRIM(A39&amp;""))&gt;0,TRIM(A39&amp;"")&lt;&gt;"—",LEN(TRIM(B39&amp;""))&gt;0,TRIM(B39&amp;"")&lt;&gt;"—",LEN(TRIM(C39&amp;""))&gt;0,TRIM(C39&amp;"")&lt;&gt;"—",LEN(TRIM(D39&amp;""))&gt;0,TRIM(D39&amp;"")&lt;&gt;"—",LEN(TRIM(I39&amp;""))&gt;0,TRIM(I39&amp;"")&lt;&gt;"—",LEN(TRIM(K39&amp;""))&gt;0,TRIM(K39&amp;"")&lt;&gt;"—",LEN(TRIM(L39&amp;""))&gt;0,TRIM(L39&amp;"")&lt;&gt;"—"),"PASS","⚠ FAIL — "&amp;"a required cell is empty/placeholder or wrong type")</f>
        <v>PASS</v>
      </c>
    </row>
    <row r="40" customFormat="false" ht="43.5" hidden="false" customHeight="true" outlineLevel="0" collapsed="false">
      <c r="A40" s="94" t="s">
        <v>1986</v>
      </c>
      <c r="B40" s="94" t="str">
        <f aca="false">'Part names'!$B$36</f>
        <v>Fresh Water Tank</v>
      </c>
      <c r="C40" s="94" t="str">
        <f aca="false">'Part names'!$B$64</f>
        <v>Nutrient Tank</v>
      </c>
      <c r="D40" s="94" t="s">
        <v>1987</v>
      </c>
      <c r="E40" s="94" t="s">
        <v>480</v>
      </c>
      <c r="F40" s="94" t="s">
        <v>1988</v>
      </c>
      <c r="G40" s="94" t="s">
        <v>1989</v>
      </c>
      <c r="H40" s="95" t="n">
        <v>3.9</v>
      </c>
      <c r="I40" s="96" t="str">
        <f aca="false">IF(ISNUMBER($M40),IF(AND(ISNUMBER($F40),$F40&lt;=$M40),"✓","✗"),IF(LEN(TRIM($N40&amp;""))=0,"n/a","✗"))</f>
        <v>✗</v>
      </c>
      <c r="J40" s="97" t="n">
        <v>149.2</v>
      </c>
      <c r="K40" s="98" t="s">
        <v>1990</v>
      </c>
      <c r="L40" s="91" t="str">
        <f aca="false">IF(AND(OR($I40="✓",$I40="n/a"),LEN(TRIM($N40&amp;""))=0),"PASS","FAIL — "&amp;IF(LEN(TRIM($N40&amp;""))&gt;0,TRIM($N40&amp;""),"velocity/ΔU outside its band or unverifiable"))</f>
        <v>FAIL — velocity underivable — no flow demand on the edge and no contract flow/throughput quantity matches either endpoint</v>
      </c>
      <c r="M40" s="84"/>
      <c r="N40" s="70" t="s">
        <v>1991</v>
      </c>
      <c r="O40" s="16" t="str">
        <f aca="false">IF(AND(LEN(TRIM(A40&amp;""))&gt;0,TRIM(A40&amp;"")&lt;&gt;"—",LEN(TRIM(B40&amp;""))&gt;0,TRIM(B40&amp;"")&lt;&gt;"—",LEN(TRIM(C40&amp;""))&gt;0,TRIM(C40&amp;"")&lt;&gt;"—",LEN(TRIM(D40&amp;""))&gt;0,TRIM(D40&amp;"")&lt;&gt;"—",LEN(TRIM(I40&amp;""))&gt;0,TRIM(I40&amp;"")&lt;&gt;"—",LEN(TRIM(K40&amp;""))&gt;0,TRIM(K40&amp;"")&lt;&gt;"—",LEN(TRIM(L40&amp;""))&gt;0,TRIM(L40&amp;"")&lt;&gt;"—"),"PASS","⚠ FAIL — "&amp;"a required cell is empty/placeholder or wrong type")</f>
        <v>PASS</v>
      </c>
    </row>
    <row r="41" customFormat="false" ht="43.5" hidden="false" customHeight="true" outlineLevel="0" collapsed="false">
      <c r="A41" s="11" t="s">
        <v>1992</v>
      </c>
      <c r="B41" s="11" t="str">
        <f aca="false">'Part names'!$B$36</f>
        <v>Fresh Water Tank</v>
      </c>
      <c r="C41" s="11" t="str">
        <f aca="false">'Part names'!$B$69</f>
        <v>Permeate Outlet</v>
      </c>
      <c r="D41" s="11" t="s">
        <v>1932</v>
      </c>
      <c r="E41" s="11" t="s">
        <v>1938</v>
      </c>
      <c r="F41" s="92" t="n">
        <v>1.34</v>
      </c>
      <c r="G41" s="11" t="s">
        <v>1915</v>
      </c>
      <c r="H41" s="59" t="n">
        <v>24.74</v>
      </c>
      <c r="I41" s="93" t="str">
        <f aca="false">IF(ISNUMBER($M41),IF(AND(ISNUMBER($F41),$F41&lt;=$M41),"✓","✗"),IF(LEN(TRIM($N41&amp;""))=0,"n/a","✗"))</f>
        <v>✓</v>
      </c>
      <c r="J41" s="36" t="n">
        <v>2653.26</v>
      </c>
      <c r="K41" s="68" t="s">
        <v>1993</v>
      </c>
      <c r="L41" s="69" t="str">
        <f aca="false">IF(AND(OR($I41="✓",$I41="n/a"),LEN(TRIM($N41&amp;""))=0),"PASS","FAIL — "&amp;IF(LEN(TRIM($N41&amp;""))&gt;0,TRIM($N41&amp;""),"velocity/ΔU outside its band or unverifiable"))</f>
        <v>PASS</v>
      </c>
      <c r="M41" s="84" t="n">
        <v>3</v>
      </c>
      <c r="N41" s="70"/>
      <c r="O41" s="16" t="str">
        <f aca="false">IF(AND(LEN(TRIM(A41&amp;""))&gt;0,TRIM(A41&amp;"")&lt;&gt;"—",LEN(TRIM(B41&amp;""))&gt;0,TRIM(B41&amp;"")&lt;&gt;"—",LEN(TRIM(C41&amp;""))&gt;0,TRIM(C41&amp;"")&lt;&gt;"—",LEN(TRIM(D41&amp;""))&gt;0,TRIM(D41&amp;"")&lt;&gt;"—",LEN(TRIM(I41&amp;""))&gt;0,TRIM(I41&amp;"")&lt;&gt;"—",LEN(TRIM(K41&amp;""))&gt;0,TRIM(K41&amp;"")&lt;&gt;"—",LEN(TRIM(L41&amp;""))&gt;0,TRIM(L41&amp;"")&lt;&gt;"—"),"PASS","⚠ FAIL — "&amp;"a required cell is empty/placeholder or wrong type")</f>
        <v>PASS</v>
      </c>
    </row>
    <row r="42" customFormat="false" ht="43.5" hidden="false" customHeight="true" outlineLevel="0" collapsed="false">
      <c r="A42" s="11" t="s">
        <v>1994</v>
      </c>
      <c r="B42" s="11" t="str">
        <f aca="false">'Part names'!$B$36</f>
        <v>Fresh Water Tank</v>
      </c>
      <c r="C42" s="11" t="str">
        <f aca="false">'Part names'!$B$25</f>
        <v>Drain Collection Sump</v>
      </c>
      <c r="D42" s="11" t="s">
        <v>1918</v>
      </c>
      <c r="E42" s="11" t="s">
        <v>1919</v>
      </c>
      <c r="F42" s="92" t="n">
        <v>0.968</v>
      </c>
      <c r="G42" s="11" t="s">
        <v>1915</v>
      </c>
      <c r="H42" s="59" t="n">
        <v>27.23</v>
      </c>
      <c r="I42" s="93" t="str">
        <f aca="false">IF(ISNUMBER($M42),IF(AND(ISNUMBER($F42),$F42&lt;=$M42),"✓","✗"),IF(LEN(TRIM($N42&amp;""))=0,"n/a","✗"))</f>
        <v>✓</v>
      </c>
      <c r="J42" s="36" t="n">
        <v>3799.9</v>
      </c>
      <c r="K42" s="68" t="s">
        <v>1995</v>
      </c>
      <c r="L42" s="69" t="str">
        <f aca="false">IF(AND(OR($I42="✓",$I42="n/a"),LEN(TRIM($N42&amp;""))=0),"PASS","FAIL — "&amp;IF(LEN(TRIM($N42&amp;""))&gt;0,TRIM($N42&amp;""),"velocity/ΔU outside its band or unverifiable"))</f>
        <v>PASS</v>
      </c>
      <c r="M42" s="84" t="n">
        <v>3</v>
      </c>
      <c r="N42" s="70"/>
      <c r="O42" s="16" t="str">
        <f aca="false">IF(AND(LEN(TRIM(A42&amp;""))&gt;0,TRIM(A42&amp;"")&lt;&gt;"—",LEN(TRIM(B42&amp;""))&gt;0,TRIM(B42&amp;"")&lt;&gt;"—",LEN(TRIM(C42&amp;""))&gt;0,TRIM(C42&amp;"")&lt;&gt;"—",LEN(TRIM(D42&amp;""))&gt;0,TRIM(D42&amp;"")&lt;&gt;"—",LEN(TRIM(I42&amp;""))&gt;0,TRIM(I42&amp;"")&lt;&gt;"—",LEN(TRIM(K42&amp;""))&gt;0,TRIM(K42&amp;"")&lt;&gt;"—",LEN(TRIM(L42&amp;""))&gt;0,TRIM(L42&amp;"")&lt;&gt;"—"),"PASS","⚠ FAIL — "&amp;"a required cell is empty/placeholder or wrong type")</f>
        <v>PASS</v>
      </c>
    </row>
    <row r="43" customFormat="false" ht="43.5" hidden="false" customHeight="true" outlineLevel="0" collapsed="false">
      <c r="A43" s="11" t="s">
        <v>1996</v>
      </c>
      <c r="B43" s="11" t="str">
        <f aca="false">'Part names'!$B$36</f>
        <v>Fresh Water Tank</v>
      </c>
      <c r="C43" s="11" t="str">
        <f aca="false">'Part names'!$B$26</f>
        <v>Drain Transfer Pump</v>
      </c>
      <c r="D43" s="11" t="s">
        <v>1918</v>
      </c>
      <c r="E43" s="11" t="s">
        <v>1919</v>
      </c>
      <c r="F43" s="92" t="n">
        <v>0.968</v>
      </c>
      <c r="G43" s="11" t="s">
        <v>1915</v>
      </c>
      <c r="H43" s="59" t="n">
        <v>36.54</v>
      </c>
      <c r="I43" s="93" t="str">
        <f aca="false">IF(ISNUMBER($M43),IF(AND(ISNUMBER($F43),$F43&lt;=$M43),"✓","✗"),IF(LEN(TRIM($N43&amp;""))=0,"n/a","✗"))</f>
        <v>✓</v>
      </c>
      <c r="J43" s="36" t="n">
        <v>5010.2</v>
      </c>
      <c r="K43" s="68" t="s">
        <v>1997</v>
      </c>
      <c r="L43" s="69" t="str">
        <f aca="false">IF(AND(OR($I43="✓",$I43="n/a"),LEN(TRIM($N43&amp;""))=0),"PASS","FAIL — "&amp;IF(LEN(TRIM($N43&amp;""))&gt;0,TRIM($N43&amp;""),"velocity/ΔU outside its band or unverifiable"))</f>
        <v>PASS</v>
      </c>
      <c r="M43" s="84" t="n">
        <v>3</v>
      </c>
      <c r="N43" s="70"/>
      <c r="O43" s="16" t="str">
        <f aca="false">IF(AND(LEN(TRIM(A43&amp;""))&gt;0,TRIM(A43&amp;"")&lt;&gt;"—",LEN(TRIM(B43&amp;""))&gt;0,TRIM(B43&amp;"")&lt;&gt;"—",LEN(TRIM(C43&amp;""))&gt;0,TRIM(C43&amp;"")&lt;&gt;"—",LEN(TRIM(D43&amp;""))&gt;0,TRIM(D43&amp;"")&lt;&gt;"—",LEN(TRIM(I43&amp;""))&gt;0,TRIM(I43&amp;"")&lt;&gt;"—",LEN(TRIM(K43&amp;""))&gt;0,TRIM(K43&amp;"")&lt;&gt;"—",LEN(TRIM(L43&amp;""))&gt;0,TRIM(L43&amp;"")&lt;&gt;"—"),"PASS","⚠ FAIL — "&amp;"a required cell is empty/placeholder or wrong type")</f>
        <v>PASS</v>
      </c>
    </row>
    <row r="44" customFormat="false" ht="43.5" hidden="false" customHeight="true" outlineLevel="0" collapsed="false">
      <c r="A44" s="94" t="s">
        <v>1998</v>
      </c>
      <c r="B44" s="94" t="str">
        <f aca="false">'Part names'!$B$36</f>
        <v>Fresh Water Tank</v>
      </c>
      <c r="C44" s="94" t="str">
        <f aca="false">'Part names'!$B$27</f>
        <v>Drain Water Tank</v>
      </c>
      <c r="D44" s="94" t="s">
        <v>1987</v>
      </c>
      <c r="E44" s="94" t="s">
        <v>480</v>
      </c>
      <c r="F44" s="94" t="s">
        <v>1988</v>
      </c>
      <c r="G44" s="94" t="s">
        <v>1989</v>
      </c>
      <c r="H44" s="95" t="n">
        <v>19.98</v>
      </c>
      <c r="I44" s="96" t="str">
        <f aca="false">IF(ISNUMBER($M44),IF(AND(ISNUMBER($F44),$F44&lt;=$M44),"✓","✗"),IF(LEN(TRIM($N44&amp;""))=0,"n/a","✗"))</f>
        <v>✗</v>
      </c>
      <c r="J44" s="97" t="n">
        <v>599.44</v>
      </c>
      <c r="K44" s="98" t="s">
        <v>1999</v>
      </c>
      <c r="L44" s="91" t="str">
        <f aca="false">IF(AND(OR($I44="✓",$I44="n/a"),LEN(TRIM($N44&amp;""))=0),"PASS","FAIL — "&amp;IF(LEN(TRIM($N44&amp;""))&gt;0,TRIM($N44&amp;""),"velocity/ΔU outside its band or unverifiable"))</f>
        <v>FAIL — velocity underivable — no flow demand on the edge and no contract flow/throughput quantity matches either endpoint</v>
      </c>
      <c r="M44" s="84"/>
      <c r="N44" s="70" t="s">
        <v>1991</v>
      </c>
      <c r="O44" s="16" t="str">
        <f aca="false">IF(AND(LEN(TRIM(A44&amp;""))&gt;0,TRIM(A44&amp;"")&lt;&gt;"—",LEN(TRIM(B44&amp;""))&gt;0,TRIM(B44&amp;"")&lt;&gt;"—",LEN(TRIM(C44&amp;""))&gt;0,TRIM(C44&amp;"")&lt;&gt;"—",LEN(TRIM(D44&amp;""))&gt;0,TRIM(D44&amp;"")&lt;&gt;"—",LEN(TRIM(I44&amp;""))&gt;0,TRIM(I44&amp;"")&lt;&gt;"—",LEN(TRIM(K44&amp;""))&gt;0,TRIM(K44&amp;"")&lt;&gt;"—",LEN(TRIM(L44&amp;""))&gt;0,TRIM(L44&amp;"")&lt;&gt;"—"),"PASS","⚠ FAIL — "&amp;"a required cell is empty/placeholder or wrong type")</f>
        <v>PASS</v>
      </c>
    </row>
    <row r="45" customFormat="false" ht="43.5" hidden="false" customHeight="true" outlineLevel="0" collapsed="false">
      <c r="A45" s="11" t="s">
        <v>2000</v>
      </c>
      <c r="B45" s="11" t="str">
        <f aca="false">'Part names'!$B$32</f>
        <v>Fertigation Dosing Pump</v>
      </c>
      <c r="C45" s="11" t="str">
        <f aca="false">'Part names'!$B$40</f>
        <v>Hand Watering Pump</v>
      </c>
      <c r="D45" s="11" t="s">
        <v>1951</v>
      </c>
      <c r="E45" s="11" t="s">
        <v>1952</v>
      </c>
      <c r="F45" s="92" t="n">
        <v>1.457</v>
      </c>
      <c r="G45" s="11" t="s">
        <v>1915</v>
      </c>
      <c r="H45" s="59" t="n">
        <v>29.63</v>
      </c>
      <c r="I45" s="93" t="str">
        <f aca="false">IF(ISNUMBER($M45),IF(AND(ISNUMBER($F45),$F45&lt;=$M45),"✓","✗"),IF(LEN(TRIM($N45&amp;""))=0,"n/a","✗"))</f>
        <v>✓</v>
      </c>
      <c r="J45" s="36" t="n">
        <v>2332.62</v>
      </c>
      <c r="K45" s="68" t="s">
        <v>2001</v>
      </c>
      <c r="L45" s="69" t="str">
        <f aca="false">IF(AND(OR($I45="✓",$I45="n/a"),LEN(TRIM($N45&amp;""))=0),"PASS","FAIL — "&amp;IF(LEN(TRIM($N45&amp;""))&gt;0,TRIM($N45&amp;""),"velocity/ΔU outside its band or unverifiable"))</f>
        <v>PASS</v>
      </c>
      <c r="M45" s="84" t="n">
        <v>3</v>
      </c>
      <c r="N45" s="70"/>
      <c r="O45" s="16" t="str">
        <f aca="false">IF(AND(LEN(TRIM(A45&amp;""))&gt;0,TRIM(A45&amp;"")&lt;&gt;"—",LEN(TRIM(B45&amp;""))&gt;0,TRIM(B45&amp;"")&lt;&gt;"—",LEN(TRIM(C45&amp;""))&gt;0,TRIM(C45&amp;"")&lt;&gt;"—",LEN(TRIM(D45&amp;""))&gt;0,TRIM(D45&amp;"")&lt;&gt;"—",LEN(TRIM(I45&amp;""))&gt;0,TRIM(I45&amp;"")&lt;&gt;"—",LEN(TRIM(K45&amp;""))&gt;0,TRIM(K45&amp;"")&lt;&gt;"—",LEN(TRIM(L45&amp;""))&gt;0,TRIM(L45&amp;"")&lt;&gt;"—"),"PASS","⚠ FAIL — "&amp;"a required cell is empty/placeholder or wrong type")</f>
        <v>PASS</v>
      </c>
    </row>
    <row r="46" customFormat="false" ht="43.5" hidden="false" customHeight="true" outlineLevel="0" collapsed="false">
      <c r="A46" s="11" t="s">
        <v>2002</v>
      </c>
      <c r="B46" s="11" t="str">
        <f aca="false">'Part names'!$B$32</f>
        <v>Fertigation Dosing Pump</v>
      </c>
      <c r="C46" s="11" t="str">
        <f aca="false">'Part names'!$B$25</f>
        <v>Drain Collection Sump</v>
      </c>
      <c r="D46" s="11" t="s">
        <v>1918</v>
      </c>
      <c r="E46" s="11" t="s">
        <v>1919</v>
      </c>
      <c r="F46" s="92" t="n">
        <v>0.968</v>
      </c>
      <c r="G46" s="11" t="s">
        <v>1915</v>
      </c>
      <c r="H46" s="59" t="n">
        <v>19.37</v>
      </c>
      <c r="I46" s="93" t="str">
        <f aca="false">IF(ISNUMBER($M46),IF(AND(ISNUMBER($F46),$F46&lt;=$M46),"✓","✗"),IF(LEN(TRIM($N46&amp;""))=0,"n/a","✗"))</f>
        <v>✓</v>
      </c>
      <c r="J46" s="36" t="n">
        <v>2778.1</v>
      </c>
      <c r="K46" s="68" t="s">
        <v>2003</v>
      </c>
      <c r="L46" s="69" t="str">
        <f aca="false">IF(AND(OR($I46="✓",$I46="n/a"),LEN(TRIM($N46&amp;""))=0),"PASS","FAIL — "&amp;IF(LEN(TRIM($N46&amp;""))&gt;0,TRIM($N46&amp;""),"velocity/ΔU outside its band or unverifiable"))</f>
        <v>PASS</v>
      </c>
      <c r="M46" s="84" t="n">
        <v>3</v>
      </c>
      <c r="N46" s="70"/>
      <c r="O46" s="16" t="str">
        <f aca="false">IF(AND(LEN(TRIM(A46&amp;""))&gt;0,TRIM(A46&amp;"")&lt;&gt;"—",LEN(TRIM(B46&amp;""))&gt;0,TRIM(B46&amp;"")&lt;&gt;"—",LEN(TRIM(C46&amp;""))&gt;0,TRIM(C46&amp;"")&lt;&gt;"—",LEN(TRIM(D46&amp;""))&gt;0,TRIM(D46&amp;"")&lt;&gt;"—",LEN(TRIM(I46&amp;""))&gt;0,TRIM(I46&amp;"")&lt;&gt;"—",LEN(TRIM(K46&amp;""))&gt;0,TRIM(K46&amp;"")&lt;&gt;"—",LEN(TRIM(L46&amp;""))&gt;0,TRIM(L46&amp;"")&lt;&gt;"—"),"PASS","⚠ FAIL — "&amp;"a required cell is empty/placeholder or wrong type")</f>
        <v>PASS</v>
      </c>
    </row>
    <row r="47" customFormat="false" ht="43.5" hidden="false" customHeight="true" outlineLevel="0" collapsed="false">
      <c r="A47" s="11" t="s">
        <v>2004</v>
      </c>
      <c r="B47" s="11" t="str">
        <f aca="false">'Part names'!$B$40</f>
        <v>Hand Watering Pump</v>
      </c>
      <c r="C47" s="11" t="str">
        <f aca="false">'Part names'!$B$47</f>
        <v>Irrigation Pump</v>
      </c>
      <c r="D47" s="11" t="s">
        <v>1932</v>
      </c>
      <c r="E47" s="11" t="s">
        <v>1938</v>
      </c>
      <c r="F47" s="92" t="n">
        <v>1.34</v>
      </c>
      <c r="G47" s="11" t="s">
        <v>1915</v>
      </c>
      <c r="H47" s="59" t="n">
        <v>6.54</v>
      </c>
      <c r="I47" s="93" t="str">
        <f aca="false">IF(ISNUMBER($M47),IF(AND(ISNUMBER($F47),$F47&lt;=$M47),"✓","✗"),IF(LEN(TRIM($N47&amp;""))=0,"n/a","✗"))</f>
        <v>✓</v>
      </c>
      <c r="J47" s="36" t="n">
        <v>1419.1</v>
      </c>
      <c r="K47" s="68" t="s">
        <v>2005</v>
      </c>
      <c r="L47" s="69" t="str">
        <f aca="false">IF(AND(OR($I47="✓",$I47="n/a"),LEN(TRIM($N47&amp;""))=0),"PASS","FAIL — "&amp;IF(LEN(TRIM($N47&amp;""))&gt;0,TRIM($N47&amp;""),"velocity/ΔU outside its band or unverifiable"))</f>
        <v>PASS</v>
      </c>
      <c r="M47" s="84" t="n">
        <v>3</v>
      </c>
      <c r="N47" s="70"/>
      <c r="O47" s="16" t="str">
        <f aca="false">IF(AND(LEN(TRIM(A47&amp;""))&gt;0,TRIM(A47&amp;"")&lt;&gt;"—",LEN(TRIM(B47&amp;""))&gt;0,TRIM(B47&amp;"")&lt;&gt;"—",LEN(TRIM(C47&amp;""))&gt;0,TRIM(C47&amp;"")&lt;&gt;"—",LEN(TRIM(D47&amp;""))&gt;0,TRIM(D47&amp;"")&lt;&gt;"—",LEN(TRIM(I47&amp;""))&gt;0,TRIM(I47&amp;"")&lt;&gt;"—",LEN(TRIM(K47&amp;""))&gt;0,TRIM(K47&amp;"")&lt;&gt;"—",LEN(TRIM(L47&amp;""))&gt;0,TRIM(L47&amp;"")&lt;&gt;"—"),"PASS","⚠ FAIL — "&amp;"a required cell is empty/placeholder or wrong type")</f>
        <v>PASS</v>
      </c>
    </row>
    <row r="48" customFormat="false" ht="43.5" hidden="false" customHeight="true" outlineLevel="0" collapsed="false">
      <c r="A48" s="11" t="s">
        <v>2006</v>
      </c>
      <c r="B48" s="11" t="str">
        <f aca="false">'Part names'!$B$40</f>
        <v>Hand Watering Pump</v>
      </c>
      <c r="C48" s="11" t="str">
        <f aca="false">'Part names'!$B$25</f>
        <v>Drain Collection Sump</v>
      </c>
      <c r="D48" s="11" t="s">
        <v>1918</v>
      </c>
      <c r="E48" s="11" t="s">
        <v>1919</v>
      </c>
      <c r="F48" s="92" t="n">
        <v>0.968</v>
      </c>
      <c r="G48" s="11" t="s">
        <v>1915</v>
      </c>
      <c r="H48" s="59" t="n">
        <v>33.5</v>
      </c>
      <c r="I48" s="93" t="str">
        <f aca="false">IF(ISNUMBER($M48),IF(AND(ISNUMBER($F48),$F48&lt;=$M48),"✓","✗"),IF(LEN(TRIM($N48&amp;""))=0,"n/a","✗"))</f>
        <v>✓</v>
      </c>
      <c r="J48" s="36" t="n">
        <v>4615</v>
      </c>
      <c r="K48" s="68" t="s">
        <v>2007</v>
      </c>
      <c r="L48" s="69" t="str">
        <f aca="false">IF(AND(OR($I48="✓",$I48="n/a"),LEN(TRIM($N48&amp;""))=0),"PASS","FAIL — "&amp;IF(LEN(TRIM($N48&amp;""))&gt;0,TRIM($N48&amp;""),"velocity/ΔU outside its band or unverifiable"))</f>
        <v>PASS</v>
      </c>
      <c r="M48" s="84" t="n">
        <v>3</v>
      </c>
      <c r="N48" s="70"/>
      <c r="O48" s="16" t="str">
        <f aca="false">IF(AND(LEN(TRIM(A48&amp;""))&gt;0,TRIM(A48&amp;"")&lt;&gt;"—",LEN(TRIM(B48&amp;""))&gt;0,TRIM(B48&amp;"")&lt;&gt;"—",LEN(TRIM(C48&amp;""))&gt;0,TRIM(C48&amp;"")&lt;&gt;"—",LEN(TRIM(D48&amp;""))&gt;0,TRIM(D48&amp;"")&lt;&gt;"—",LEN(TRIM(I48&amp;""))&gt;0,TRIM(I48&amp;"")&lt;&gt;"—",LEN(TRIM(K48&amp;""))&gt;0,TRIM(K48&amp;"")&lt;&gt;"—",LEN(TRIM(L48&amp;""))&gt;0,TRIM(L48&amp;"")&lt;&gt;"—"),"PASS","⚠ FAIL — "&amp;"a required cell is empty/placeholder or wrong type")</f>
        <v>PASS</v>
      </c>
    </row>
    <row r="49" customFormat="false" ht="43.5" hidden="false" customHeight="true" outlineLevel="0" collapsed="false">
      <c r="A49" s="11" t="s">
        <v>2008</v>
      </c>
      <c r="B49" s="11" t="str">
        <f aca="false">'Part names'!$B$47</f>
        <v>Irrigation Pump</v>
      </c>
      <c r="C49" s="11" t="str">
        <f aca="false">'Part names'!$B$24</f>
        <v>Distribution Manifold</v>
      </c>
      <c r="D49" s="11" t="s">
        <v>1918</v>
      </c>
      <c r="E49" s="11" t="s">
        <v>1919</v>
      </c>
      <c r="F49" s="92" t="n">
        <v>0.968</v>
      </c>
      <c r="G49" s="11" t="s">
        <v>1915</v>
      </c>
      <c r="H49" s="59" t="n">
        <v>1.87</v>
      </c>
      <c r="I49" s="93" t="str">
        <f aca="false">IF(ISNUMBER($M49),IF(AND(ISNUMBER($F49),$F49&lt;=$M49),"✓","✗"),IF(LEN(TRIM($N49&amp;""))=0,"n/a","✗"))</f>
        <v>✓</v>
      </c>
      <c r="J49" s="36" t="n">
        <v>503.1</v>
      </c>
      <c r="K49" s="68" t="s">
        <v>2009</v>
      </c>
      <c r="L49" s="69" t="str">
        <f aca="false">IF(AND(OR($I49="✓",$I49="n/a"),LEN(TRIM($N49&amp;""))=0),"PASS","FAIL — "&amp;IF(LEN(TRIM($N49&amp;""))&gt;0,TRIM($N49&amp;""),"velocity/ΔU outside its band or unverifiable"))</f>
        <v>PASS</v>
      </c>
      <c r="M49" s="84" t="n">
        <v>3</v>
      </c>
      <c r="N49" s="70"/>
      <c r="O49" s="16" t="str">
        <f aca="false">IF(AND(LEN(TRIM(A49&amp;""))&gt;0,TRIM(A49&amp;"")&lt;&gt;"—",LEN(TRIM(B49&amp;""))&gt;0,TRIM(B49&amp;"")&lt;&gt;"—",LEN(TRIM(C49&amp;""))&gt;0,TRIM(C49&amp;"")&lt;&gt;"—",LEN(TRIM(D49&amp;""))&gt;0,TRIM(D49&amp;"")&lt;&gt;"—",LEN(TRIM(I49&amp;""))&gt;0,TRIM(I49&amp;"")&lt;&gt;"—",LEN(TRIM(K49&amp;""))&gt;0,TRIM(K49&amp;"")&lt;&gt;"—",LEN(TRIM(L49&amp;""))&gt;0,TRIM(L49&amp;"")&lt;&gt;"—"),"PASS","⚠ FAIL — "&amp;"a required cell is empty/placeholder or wrong type")</f>
        <v>PASS</v>
      </c>
    </row>
    <row r="50" customFormat="false" ht="43.5" hidden="false" customHeight="true" outlineLevel="0" collapsed="false">
      <c r="A50" s="11" t="s">
        <v>2010</v>
      </c>
      <c r="B50" s="11" t="str">
        <f aca="false">'Part names'!$B$47</f>
        <v>Irrigation Pump</v>
      </c>
      <c r="C50" s="11" t="str">
        <f aca="false">'Part names'!$B$25</f>
        <v>Drain Collection Sump</v>
      </c>
      <c r="D50" s="11" t="s">
        <v>1918</v>
      </c>
      <c r="E50" s="11" t="s">
        <v>1919</v>
      </c>
      <c r="F50" s="92" t="n">
        <v>0.968</v>
      </c>
      <c r="G50" s="11" t="s">
        <v>1915</v>
      </c>
      <c r="H50" s="59" t="n">
        <v>31.06</v>
      </c>
      <c r="I50" s="93" t="str">
        <f aca="false">IF(ISNUMBER($M50),IF(AND(ISNUMBER($F50),$F50&lt;=$M50),"✓","✗"),IF(LEN(TRIM($N50&amp;""))=0,"n/a","✗"))</f>
        <v>✓</v>
      </c>
      <c r="J50" s="36" t="n">
        <v>4297.8</v>
      </c>
      <c r="K50" s="68" t="s">
        <v>2011</v>
      </c>
      <c r="L50" s="69" t="str">
        <f aca="false">IF(AND(OR($I50="✓",$I50="n/a"),LEN(TRIM($N50&amp;""))=0),"PASS","FAIL — "&amp;IF(LEN(TRIM($N50&amp;""))&gt;0,TRIM($N50&amp;""),"velocity/ΔU outside its band or unverifiable"))</f>
        <v>PASS</v>
      </c>
      <c r="M50" s="84" t="n">
        <v>3</v>
      </c>
      <c r="N50" s="70"/>
      <c r="O50" s="16" t="str">
        <f aca="false">IF(AND(LEN(TRIM(A50&amp;""))&gt;0,TRIM(A50&amp;"")&lt;&gt;"—",LEN(TRIM(B50&amp;""))&gt;0,TRIM(B50&amp;"")&lt;&gt;"—",LEN(TRIM(C50&amp;""))&gt;0,TRIM(C50&amp;"")&lt;&gt;"—",LEN(TRIM(D50&amp;""))&gt;0,TRIM(D50&amp;"")&lt;&gt;"—",LEN(TRIM(I50&amp;""))&gt;0,TRIM(I50&amp;"")&lt;&gt;"—",LEN(TRIM(K50&amp;""))&gt;0,TRIM(K50&amp;"")&lt;&gt;"—",LEN(TRIM(L50&amp;""))&gt;0,TRIM(L50&amp;"")&lt;&gt;"—"),"PASS","⚠ FAIL — "&amp;"a required cell is empty/placeholder or wrong type")</f>
        <v>PASS</v>
      </c>
    </row>
    <row r="51" customFormat="false" ht="43.5" hidden="false" customHeight="true" outlineLevel="0" collapsed="false">
      <c r="A51" s="11" t="s">
        <v>1680</v>
      </c>
      <c r="B51" s="11" t="str">
        <f aca="false">'Part names'!$B$97</f>
        <v>Ultrafiltration Module</v>
      </c>
      <c r="C51" s="11" t="str">
        <f aca="false">'Part names'!$B$36</f>
        <v>Fresh Water Tank</v>
      </c>
      <c r="D51" s="11" t="s">
        <v>1681</v>
      </c>
      <c r="E51" s="11" t="s">
        <v>2012</v>
      </c>
      <c r="F51" s="92" t="n">
        <v>1.083</v>
      </c>
      <c r="G51" s="11" t="s">
        <v>1915</v>
      </c>
      <c r="H51" s="59" t="n">
        <v>20.6</v>
      </c>
      <c r="I51" s="93" t="str">
        <f aca="false">IF(ISNUMBER($M51),IF(AND(ISNUMBER($F51),$F51&lt;=$M51),"✓","✗"),IF(LEN(TRIM($N51&amp;""))=0,"n/a","✗"))</f>
        <v>✓</v>
      </c>
      <c r="J51" s="36" t="n">
        <v>291.12</v>
      </c>
      <c r="K51" s="68" t="s">
        <v>2013</v>
      </c>
      <c r="L51" s="69" t="str">
        <f aca="false">IF(AND(OR($I51="✓",$I51="n/a"),LEN(TRIM($N51&amp;""))=0),"PASS","FAIL — "&amp;IF(LEN(TRIM($N51&amp;""))&gt;0,TRIM($N51&amp;""),"velocity/ΔU outside its band or unverifiable"))</f>
        <v>PASS</v>
      </c>
      <c r="M51" s="84" t="n">
        <v>3</v>
      </c>
      <c r="N51" s="70"/>
      <c r="O51" s="16" t="str">
        <f aca="false">IF(AND(LEN(TRIM(A51&amp;""))&gt;0,TRIM(A51&amp;"")&lt;&gt;"—",LEN(TRIM(B51&amp;""))&gt;0,TRIM(B51&amp;"")&lt;&gt;"—",LEN(TRIM(C51&amp;""))&gt;0,TRIM(C51&amp;"")&lt;&gt;"—",LEN(TRIM(D51&amp;""))&gt;0,TRIM(D51&amp;"")&lt;&gt;"—",LEN(TRIM(I51&amp;""))&gt;0,TRIM(I51&amp;"")&lt;&gt;"—",LEN(TRIM(K51&amp;""))&gt;0,TRIM(K51&amp;"")&lt;&gt;"—",LEN(TRIM(L51&amp;""))&gt;0,TRIM(L51&amp;"")&lt;&gt;"—"),"PASS","⚠ FAIL — "&amp;"a required cell is empty/placeholder or wrong type")</f>
        <v>PASS</v>
      </c>
    </row>
    <row r="52" customFormat="false" ht="43.5" hidden="false" customHeight="true" outlineLevel="0" collapsed="false">
      <c r="A52" s="11" t="s">
        <v>2014</v>
      </c>
      <c r="B52" s="11" t="str">
        <f aca="false">'Part names'!$B$69</f>
        <v>Permeate Outlet</v>
      </c>
      <c r="C52" s="11" t="str">
        <f aca="false">'Part names'!$B$14</f>
        <v>Cip Tank</v>
      </c>
      <c r="D52" s="11" t="s">
        <v>1969</v>
      </c>
      <c r="E52" s="11" t="s">
        <v>1970</v>
      </c>
      <c r="F52" s="92" t="n">
        <v>1.148</v>
      </c>
      <c r="G52" s="11" t="s">
        <v>1915</v>
      </c>
      <c r="H52" s="59" t="n">
        <v>44.97</v>
      </c>
      <c r="I52" s="93" t="str">
        <f aca="false">IF(ISNUMBER($M52),IF(AND(ISNUMBER($F52),$F52&lt;=$M52),"✓","✗"),IF(LEN(TRIM($N52&amp;""))=0,"n/a","✗"))</f>
        <v>✓</v>
      </c>
      <c r="J52" s="36" t="n">
        <v>1580.98</v>
      </c>
      <c r="K52" s="68" t="s">
        <v>2015</v>
      </c>
      <c r="L52" s="69" t="str">
        <f aca="false">IF(AND(OR($I52="✓",$I52="n/a"),LEN(TRIM($N52&amp;""))=0),"PASS","FAIL — "&amp;IF(LEN(TRIM($N52&amp;""))&gt;0,TRIM($N52&amp;""),"velocity/ΔU outside its band or unverifiable"))</f>
        <v>PASS</v>
      </c>
      <c r="M52" s="84" t="n">
        <v>3</v>
      </c>
      <c r="N52" s="70"/>
      <c r="O52" s="16" t="str">
        <f aca="false">IF(AND(LEN(TRIM(A52&amp;""))&gt;0,TRIM(A52&amp;"")&lt;&gt;"—",LEN(TRIM(B52&amp;""))&gt;0,TRIM(B52&amp;"")&lt;&gt;"—",LEN(TRIM(C52&amp;""))&gt;0,TRIM(C52&amp;"")&lt;&gt;"—",LEN(TRIM(D52&amp;""))&gt;0,TRIM(D52&amp;"")&lt;&gt;"—",LEN(TRIM(I52&amp;""))&gt;0,TRIM(I52&amp;"")&lt;&gt;"—",LEN(TRIM(K52&amp;""))&gt;0,TRIM(K52&amp;"")&lt;&gt;"—",LEN(TRIM(L52&amp;""))&gt;0,TRIM(L52&amp;"")&lt;&gt;"—"),"PASS","⚠ FAIL — "&amp;"a required cell is empty/placeholder or wrong type")</f>
        <v>PASS</v>
      </c>
    </row>
    <row r="53" customFormat="false" ht="43.5" hidden="false" customHeight="true" outlineLevel="0" collapsed="false">
      <c r="A53" s="11" t="s">
        <v>2016</v>
      </c>
      <c r="B53" s="11" t="str">
        <f aca="false">'Part names'!$B$69</f>
        <v>Permeate Outlet</v>
      </c>
      <c r="C53" s="11" t="str">
        <f aca="false">'Part names'!$B$97</f>
        <v>Ultrafiltration Module</v>
      </c>
      <c r="D53" s="11" t="s">
        <v>1922</v>
      </c>
      <c r="E53" s="11" t="s">
        <v>2017</v>
      </c>
      <c r="F53" s="92" t="n">
        <v>1.027</v>
      </c>
      <c r="G53" s="11" t="s">
        <v>1915</v>
      </c>
      <c r="H53" s="59" t="n">
        <v>21.23</v>
      </c>
      <c r="I53" s="93" t="str">
        <f aca="false">IF(ISNUMBER($M53),IF(AND(ISNUMBER($F53),$F53&lt;=$M53),"✓","✗"),IF(LEN(TRIM($N53&amp;""))=0,"n/a","✗"))</f>
        <v>✓</v>
      </c>
      <c r="J53" s="36" t="n">
        <v>1103.04</v>
      </c>
      <c r="K53" s="68" t="s">
        <v>2018</v>
      </c>
      <c r="L53" s="69" t="str">
        <f aca="false">IF(AND(OR($I53="✓",$I53="n/a"),LEN(TRIM($N53&amp;""))=0),"PASS","FAIL — "&amp;IF(LEN(TRIM($N53&amp;""))&gt;0,TRIM($N53&amp;""),"velocity/ΔU outside its band or unverifiable"))</f>
        <v>PASS</v>
      </c>
      <c r="M53" s="84" t="n">
        <v>3</v>
      </c>
      <c r="N53" s="70"/>
      <c r="O53" s="16" t="str">
        <f aca="false">IF(AND(LEN(TRIM(A53&amp;""))&gt;0,TRIM(A53&amp;"")&lt;&gt;"—",LEN(TRIM(B53&amp;""))&gt;0,TRIM(B53&amp;"")&lt;&gt;"—",LEN(TRIM(C53&amp;""))&gt;0,TRIM(C53&amp;"")&lt;&gt;"—",LEN(TRIM(D53&amp;""))&gt;0,TRIM(D53&amp;"")&lt;&gt;"—",LEN(TRIM(I53&amp;""))&gt;0,TRIM(I53&amp;"")&lt;&gt;"—",LEN(TRIM(K53&amp;""))&gt;0,TRIM(K53&amp;"")&lt;&gt;"—",LEN(TRIM(L53&amp;""))&gt;0,TRIM(L53&amp;"")&lt;&gt;"—"),"PASS","⚠ FAIL — "&amp;"a required cell is empty/placeholder or wrong type")</f>
        <v>PASS</v>
      </c>
    </row>
    <row r="54" customFormat="false" ht="43.5" hidden="false" customHeight="true" outlineLevel="0" collapsed="false">
      <c r="A54" s="11" t="s">
        <v>2019</v>
      </c>
      <c r="B54" s="11" t="str">
        <f aca="false">'Part names'!$B$87</f>
        <v>Softener Vessel</v>
      </c>
      <c r="C54" s="11" t="str">
        <f aca="false">'Part names'!$B$25</f>
        <v>Drain Collection Sump</v>
      </c>
      <c r="D54" s="11" t="s">
        <v>1918</v>
      </c>
      <c r="E54" s="11" t="s">
        <v>1919</v>
      </c>
      <c r="F54" s="92" t="n">
        <v>0.968</v>
      </c>
      <c r="G54" s="11" t="s">
        <v>1915</v>
      </c>
      <c r="H54" s="59" t="n">
        <v>7.46</v>
      </c>
      <c r="I54" s="93" t="str">
        <f aca="false">IF(ISNUMBER($M54),IF(AND(ISNUMBER($F54),$F54&lt;=$M54),"✓","✗"),IF(LEN(TRIM($N54&amp;""))=0,"n/a","✗"))</f>
        <v>✓</v>
      </c>
      <c r="J54" s="36" t="n">
        <v>1229.8</v>
      </c>
      <c r="K54" s="68" t="s">
        <v>2020</v>
      </c>
      <c r="L54" s="69" t="str">
        <f aca="false">IF(AND(OR($I54="✓",$I54="n/a"),LEN(TRIM($N54&amp;""))=0),"PASS","FAIL — "&amp;IF(LEN(TRIM($N54&amp;""))&gt;0,TRIM($N54&amp;""),"velocity/ΔU outside its band or unverifiable"))</f>
        <v>PASS</v>
      </c>
      <c r="M54" s="84" t="n">
        <v>3</v>
      </c>
      <c r="N54" s="70"/>
      <c r="O54" s="16" t="str">
        <f aca="false">IF(AND(LEN(TRIM(A54&amp;""))&gt;0,TRIM(A54&amp;"")&lt;&gt;"—",LEN(TRIM(B54&amp;""))&gt;0,TRIM(B54&amp;"")&lt;&gt;"—",LEN(TRIM(C54&amp;""))&gt;0,TRIM(C54&amp;"")&lt;&gt;"—",LEN(TRIM(D54&amp;""))&gt;0,TRIM(D54&amp;"")&lt;&gt;"—",LEN(TRIM(I54&amp;""))&gt;0,TRIM(I54&amp;"")&lt;&gt;"—",LEN(TRIM(K54&amp;""))&gt;0,TRIM(K54&amp;"")&lt;&gt;"—",LEN(TRIM(L54&amp;""))&gt;0,TRIM(L54&amp;"")&lt;&gt;"—"),"PASS","⚠ FAIL — "&amp;"a required cell is empty/placeholder or wrong type")</f>
        <v>PASS</v>
      </c>
    </row>
    <row r="55" customFormat="false" ht="43.5" hidden="false" customHeight="true" outlineLevel="0" collapsed="false">
      <c r="A55" s="11" t="s">
        <v>2021</v>
      </c>
      <c r="B55" s="11" t="str">
        <f aca="false">'Part names'!$B$64</f>
        <v>Nutrient Tank</v>
      </c>
      <c r="C55" s="11" t="str">
        <f aca="false">'Part names'!$B$25</f>
        <v>Drain Collection Sump</v>
      </c>
      <c r="D55" s="11" t="s">
        <v>1918</v>
      </c>
      <c r="E55" s="11" t="s">
        <v>1919</v>
      </c>
      <c r="F55" s="92" t="n">
        <v>0.968</v>
      </c>
      <c r="G55" s="11" t="s">
        <v>1915</v>
      </c>
      <c r="H55" s="59" t="n">
        <v>31.6</v>
      </c>
      <c r="I55" s="93" t="str">
        <f aca="false">IF(ISNUMBER($M55),IF(AND(ISNUMBER($F55),$F55&lt;=$M55),"✓","✗"),IF(LEN(TRIM($N55&amp;""))=0,"n/a","✗"))</f>
        <v>✓</v>
      </c>
      <c r="J55" s="36" t="n">
        <v>4368</v>
      </c>
      <c r="K55" s="68" t="s">
        <v>2022</v>
      </c>
      <c r="L55" s="69" t="str">
        <f aca="false">IF(AND(OR($I55="✓",$I55="n/a"),LEN(TRIM($N55&amp;""))=0),"PASS","FAIL — "&amp;IF(LEN(TRIM($N55&amp;""))&gt;0,TRIM($N55&amp;""),"velocity/ΔU outside its band or unverifiable"))</f>
        <v>PASS</v>
      </c>
      <c r="M55" s="84" t="n">
        <v>3</v>
      </c>
      <c r="N55" s="70"/>
      <c r="O55" s="16" t="str">
        <f aca="false">IF(AND(LEN(TRIM(A55&amp;""))&gt;0,TRIM(A55&amp;"")&lt;&gt;"—",LEN(TRIM(B55&amp;""))&gt;0,TRIM(B55&amp;"")&lt;&gt;"—",LEN(TRIM(C55&amp;""))&gt;0,TRIM(C55&amp;"")&lt;&gt;"—",LEN(TRIM(D55&amp;""))&gt;0,TRIM(D55&amp;"")&lt;&gt;"—",LEN(TRIM(I55&amp;""))&gt;0,TRIM(I55&amp;"")&lt;&gt;"—",LEN(TRIM(K55&amp;""))&gt;0,TRIM(K55&amp;"")&lt;&gt;"—",LEN(TRIM(L55&amp;""))&gt;0,TRIM(L55&amp;"")&lt;&gt;"—"),"PASS","⚠ FAIL — "&amp;"a required cell is empty/placeholder or wrong type")</f>
        <v>PASS</v>
      </c>
    </row>
    <row r="56" customFormat="false" ht="43.5" hidden="false" customHeight="true" outlineLevel="0" collapsed="false">
      <c r="A56" s="11" t="s">
        <v>2023</v>
      </c>
      <c r="B56" s="11" t="str">
        <f aca="false">'Part names'!$B$24</f>
        <v>Distribution Manifold</v>
      </c>
      <c r="C56" s="11" t="str">
        <f aca="false">'Part names'!$B$25</f>
        <v>Drain Collection Sump</v>
      </c>
      <c r="D56" s="11" t="s">
        <v>1918</v>
      </c>
      <c r="E56" s="11" t="s">
        <v>1919</v>
      </c>
      <c r="F56" s="92" t="n">
        <v>0.968</v>
      </c>
      <c r="G56" s="11" t="s">
        <v>1915</v>
      </c>
      <c r="H56" s="59" t="n">
        <v>32.61</v>
      </c>
      <c r="I56" s="93" t="str">
        <f aca="false">IF(ISNUMBER($M56),IF(AND(ISNUMBER($F56),$F56&lt;=$M56),"✓","✗"),IF(LEN(TRIM($N56&amp;""))=0,"n/a","✗"))</f>
        <v>✓</v>
      </c>
      <c r="J56" s="36" t="n">
        <v>4499.3</v>
      </c>
      <c r="K56" s="68" t="s">
        <v>2024</v>
      </c>
      <c r="L56" s="69" t="str">
        <f aca="false">IF(AND(OR($I56="✓",$I56="n/a"),LEN(TRIM($N56&amp;""))=0),"PASS","FAIL — "&amp;IF(LEN(TRIM($N56&amp;""))&gt;0,TRIM($N56&amp;""),"velocity/ΔU outside its band or unverifiable"))</f>
        <v>PASS</v>
      </c>
      <c r="M56" s="84" t="n">
        <v>3</v>
      </c>
      <c r="N56" s="70"/>
      <c r="O56" s="16" t="str">
        <f aca="false">IF(AND(LEN(TRIM(A56&amp;""))&gt;0,TRIM(A56&amp;"")&lt;&gt;"—",LEN(TRIM(B56&amp;""))&gt;0,TRIM(B56&amp;"")&lt;&gt;"—",LEN(TRIM(C56&amp;""))&gt;0,TRIM(C56&amp;"")&lt;&gt;"—",LEN(TRIM(D56&amp;""))&gt;0,TRIM(D56&amp;"")&lt;&gt;"—",LEN(TRIM(I56&amp;""))&gt;0,TRIM(I56&amp;"")&lt;&gt;"—",LEN(TRIM(K56&amp;""))&gt;0,TRIM(K56&amp;"")&lt;&gt;"—",LEN(TRIM(L56&amp;""))&gt;0,TRIM(L56&amp;"")&lt;&gt;"—"),"PASS","⚠ FAIL — "&amp;"a required cell is empty/placeholder or wrong type")</f>
        <v>PASS</v>
      </c>
    </row>
    <row r="57" customFormat="false" ht="43.5" hidden="false" customHeight="true" outlineLevel="0" collapsed="false">
      <c r="A57" s="11" t="s">
        <v>2025</v>
      </c>
      <c r="B57" s="11" t="str">
        <f aca="false">'Part names'!$B$81</f>
        <v>Reverse Osmosis Skid</v>
      </c>
      <c r="C57" s="11" t="str">
        <f aca="false">'Part names'!$B$25</f>
        <v>Drain Collection Sump</v>
      </c>
      <c r="D57" s="11" t="s">
        <v>1918</v>
      </c>
      <c r="E57" s="11" t="s">
        <v>1919</v>
      </c>
      <c r="F57" s="92" t="n">
        <v>0.968</v>
      </c>
      <c r="G57" s="11" t="s">
        <v>1915</v>
      </c>
      <c r="H57" s="59" t="n">
        <v>11.84</v>
      </c>
      <c r="I57" s="93" t="str">
        <f aca="false">IF(ISNUMBER($M57),IF(AND(ISNUMBER($F57),$F57&lt;=$M57),"✓","✗"),IF(LEN(TRIM($N57&amp;""))=0,"n/a","✗"))</f>
        <v>✓</v>
      </c>
      <c r="J57" s="36" t="n">
        <v>1799.2</v>
      </c>
      <c r="K57" s="68" t="s">
        <v>2026</v>
      </c>
      <c r="L57" s="69" t="str">
        <f aca="false">IF(AND(OR($I57="✓",$I57="n/a"),LEN(TRIM($N57&amp;""))=0),"PASS","FAIL — "&amp;IF(LEN(TRIM($N57&amp;""))&gt;0,TRIM($N57&amp;""),"velocity/ΔU outside its band or unverifiable"))</f>
        <v>PASS</v>
      </c>
      <c r="M57" s="84" t="n">
        <v>3</v>
      </c>
      <c r="N57" s="70"/>
      <c r="O57" s="16" t="str">
        <f aca="false">IF(AND(LEN(TRIM(A57&amp;""))&gt;0,TRIM(A57&amp;"")&lt;&gt;"—",LEN(TRIM(B57&amp;""))&gt;0,TRIM(B57&amp;"")&lt;&gt;"—",LEN(TRIM(C57&amp;""))&gt;0,TRIM(C57&amp;"")&lt;&gt;"—",LEN(TRIM(D57&amp;""))&gt;0,TRIM(D57&amp;"")&lt;&gt;"—",LEN(TRIM(I57&amp;""))&gt;0,TRIM(I57&amp;"")&lt;&gt;"—",LEN(TRIM(K57&amp;""))&gt;0,TRIM(K57&amp;"")&lt;&gt;"—",LEN(TRIM(L57&amp;""))&gt;0,TRIM(L57&amp;"")&lt;&gt;"—"),"PASS","⚠ FAIL — "&amp;"a required cell is empty/placeholder or wrong type")</f>
        <v>PASS</v>
      </c>
    </row>
    <row r="58" customFormat="false" ht="15" hidden="false" customHeight="false" outlineLevel="0" collapsed="false">
      <c r="B58" s="17" t="s">
        <v>2027</v>
      </c>
      <c r="J58" s="39" t="n">
        <f aca="false">SUM(J10:J57)</f>
        <v>114084.12</v>
      </c>
    </row>
    <row r="60" customFormat="false" ht="15" hidden="false" customHeight="false" outlineLevel="0" collapsed="false">
      <c r="A60" s="8" t="s">
        <v>2028</v>
      </c>
      <c r="B60" s="8"/>
      <c r="C60" s="8"/>
      <c r="D60" s="8"/>
      <c r="E60" s="8"/>
      <c r="F60" s="8"/>
      <c r="G60" s="8"/>
      <c r="H60" s="8"/>
      <c r="I60" s="8"/>
      <c r="J60" s="8"/>
      <c r="K60" s="8"/>
      <c r="L60" s="8"/>
    </row>
    <row r="61" customFormat="false" ht="15" hidden="false" customHeight="true" outlineLevel="0" collapsed="false">
      <c r="A61" s="6" t="s">
        <v>1905</v>
      </c>
      <c r="B61" s="6"/>
      <c r="C61" s="6"/>
      <c r="D61" s="6"/>
      <c r="E61" s="6"/>
      <c r="F61" s="6"/>
      <c r="G61" s="6"/>
      <c r="H61" s="6"/>
      <c r="I61" s="6"/>
      <c r="J61" s="6"/>
      <c r="K61" s="6"/>
      <c r="L61" s="6"/>
    </row>
    <row r="62" customFormat="false" ht="15" hidden="false" customHeight="false" outlineLevel="0" collapsed="false">
      <c r="A62" s="9" t="s">
        <v>406</v>
      </c>
      <c r="B62" s="9" t="s">
        <v>1906</v>
      </c>
      <c r="C62" s="9" t="s">
        <v>1907</v>
      </c>
      <c r="D62" s="9" t="s">
        <v>1670</v>
      </c>
      <c r="E62" s="9" t="s">
        <v>1908</v>
      </c>
      <c r="F62" s="9" t="s">
        <v>1909</v>
      </c>
      <c r="G62" s="9" t="s">
        <v>1910</v>
      </c>
      <c r="H62" s="9" t="s">
        <v>1845</v>
      </c>
      <c r="I62" s="9" t="s">
        <v>1847</v>
      </c>
      <c r="J62" s="9" t="s">
        <v>409</v>
      </c>
      <c r="K62" s="9" t="s">
        <v>256</v>
      </c>
      <c r="L62" s="9" t="s">
        <v>419</v>
      </c>
      <c r="M62" s="67" t="s">
        <v>1911</v>
      </c>
      <c r="N62" s="67" t="s">
        <v>420</v>
      </c>
      <c r="O62" s="10" t="s">
        <v>20</v>
      </c>
    </row>
    <row r="63" customFormat="false" ht="28.5" hidden="false" customHeight="true" outlineLevel="0" collapsed="false">
      <c r="A63" s="11" t="s">
        <v>1680</v>
      </c>
      <c r="B63" s="11" t="str">
        <f aca="false">'Part names'!$B$54</f>
        <v>Mains Incomer</v>
      </c>
      <c r="C63" s="11" t="str">
        <f aca="false">'Part names'!$B$90</f>
        <v>Standby Diesel Generator</v>
      </c>
      <c r="D63" s="11" t="s">
        <v>2029</v>
      </c>
      <c r="E63" s="11" t="s">
        <v>2030</v>
      </c>
      <c r="F63" s="92" t="n">
        <v>0.072</v>
      </c>
      <c r="G63" s="11" t="s">
        <v>2031</v>
      </c>
      <c r="H63" s="59" t="n">
        <v>10.17</v>
      </c>
      <c r="I63" s="93" t="str">
        <f aca="false">IF(ISNUMBER($M63),IF(AND(ISNUMBER($F63),$F63&lt;=$M63),"✓","✗"),IF(LEN(TRIM($N63&amp;""))=0,"n/a","✗"))</f>
        <v>✓</v>
      </c>
      <c r="J63" s="36" t="n">
        <v>42.51</v>
      </c>
      <c r="K63" s="68" t="s">
        <v>2032</v>
      </c>
      <c r="L63" s="69" t="str">
        <f aca="false">IF(AND(OR($I63="✓",$I63="n/a"),LEN(TRIM($N63&amp;""))=0),"PASS","FAIL — "&amp;IF(LEN(TRIM($N63&amp;""))&gt;0,TRIM($N63&amp;""),"velocity/ΔU outside its band or unverifiable"))</f>
        <v>PASS</v>
      </c>
      <c r="M63" s="84" t="n">
        <v>5</v>
      </c>
      <c r="N63" s="70"/>
      <c r="O63" s="16" t="str">
        <f aca="false">IF(AND(LEN(TRIM(A63&amp;""))&gt;0,TRIM(A63&amp;"")&lt;&gt;"—",LEN(TRIM(B63&amp;""))&gt;0,TRIM(B63&amp;"")&lt;&gt;"—",LEN(TRIM(C63&amp;""))&gt;0,TRIM(C63&amp;"")&lt;&gt;"—",LEN(TRIM(D63&amp;""))&gt;0,TRIM(D63&amp;"")&lt;&gt;"—",LEN(TRIM(I63&amp;""))&gt;0,TRIM(I63&amp;"")&lt;&gt;"—",LEN(TRIM(K63&amp;""))&gt;0,TRIM(K63&amp;"")&lt;&gt;"—",LEN(TRIM(L63&amp;""))&gt;0,TRIM(L63&amp;"")&lt;&gt;"—"),"PASS","⚠ FAIL — "&amp;"a required cell is empty/placeholder or wrong type")</f>
        <v>PASS</v>
      </c>
    </row>
    <row r="64" customFormat="false" ht="28.5" hidden="false" customHeight="true" outlineLevel="0" collapsed="false">
      <c r="A64" s="11" t="s">
        <v>2014</v>
      </c>
      <c r="B64" s="11" t="str">
        <f aca="false">'Part names'!$B$90</f>
        <v>Standby Diesel Generator</v>
      </c>
      <c r="C64" s="11" t="str">
        <f aca="false">'Part names'!$B$94</f>
        <v>Transformer</v>
      </c>
      <c r="D64" s="11" t="s">
        <v>2029</v>
      </c>
      <c r="E64" s="11" t="s">
        <v>2030</v>
      </c>
      <c r="F64" s="92" t="n">
        <v>0.06</v>
      </c>
      <c r="G64" s="11" t="s">
        <v>2031</v>
      </c>
      <c r="H64" s="59" t="n">
        <v>8.4</v>
      </c>
      <c r="I64" s="93" t="str">
        <f aca="false">IF(ISNUMBER($M64),IF(AND(ISNUMBER($F64),$F64&lt;=$M64),"✓","✗"),IF(LEN(TRIM($N64&amp;""))=0,"n/a","✗"))</f>
        <v>✓</v>
      </c>
      <c r="J64" s="36" t="n">
        <v>37.2</v>
      </c>
      <c r="K64" s="68" t="s">
        <v>2033</v>
      </c>
      <c r="L64" s="69" t="str">
        <f aca="false">IF(AND(OR($I64="✓",$I64="n/a"),LEN(TRIM($N64&amp;""))=0),"PASS","FAIL — "&amp;IF(LEN(TRIM($N64&amp;""))&gt;0,TRIM($N64&amp;""),"velocity/ΔU outside its band or unverifiable"))</f>
        <v>PASS</v>
      </c>
      <c r="M64" s="84" t="n">
        <v>5</v>
      </c>
      <c r="N64" s="70"/>
      <c r="O64" s="16" t="str">
        <f aca="false">IF(AND(LEN(TRIM(A64&amp;""))&gt;0,TRIM(A64&amp;"")&lt;&gt;"—",LEN(TRIM(B64&amp;""))&gt;0,TRIM(B64&amp;"")&lt;&gt;"—",LEN(TRIM(C64&amp;""))&gt;0,TRIM(C64&amp;"")&lt;&gt;"—",LEN(TRIM(D64&amp;""))&gt;0,TRIM(D64&amp;"")&lt;&gt;"—",LEN(TRIM(I64&amp;""))&gt;0,TRIM(I64&amp;"")&lt;&gt;"—",LEN(TRIM(K64&amp;""))&gt;0,TRIM(K64&amp;"")&lt;&gt;"—",LEN(TRIM(L64&amp;""))&gt;0,TRIM(L64&amp;"")&lt;&gt;"—"),"PASS","⚠ FAIL — "&amp;"a required cell is empty/placeholder or wrong type")</f>
        <v>PASS</v>
      </c>
    </row>
    <row r="65" customFormat="false" ht="28.5" hidden="false" customHeight="true" outlineLevel="0" collapsed="false">
      <c r="A65" s="11" t="s">
        <v>2016</v>
      </c>
      <c r="B65" s="11" t="str">
        <f aca="false">'Part names'!$B$94</f>
        <v>Transformer</v>
      </c>
      <c r="C65" s="11" t="str">
        <f aca="false">'Part names'!$B$53</f>
        <v>Main Switchboard</v>
      </c>
      <c r="D65" s="11" t="s">
        <v>2029</v>
      </c>
      <c r="E65" s="11" t="s">
        <v>2030</v>
      </c>
      <c r="F65" s="92" t="n">
        <v>0.042</v>
      </c>
      <c r="G65" s="11" t="s">
        <v>2031</v>
      </c>
      <c r="H65" s="59" t="n">
        <v>5.88</v>
      </c>
      <c r="I65" s="93" t="str">
        <f aca="false">IF(ISNUMBER($M65),IF(AND(ISNUMBER($F65),$F65&lt;=$M65),"✓","✗"),IF(LEN(TRIM($N65&amp;""))=0,"n/a","✗"))</f>
        <v>✓</v>
      </c>
      <c r="J65" s="36" t="n">
        <v>29.64</v>
      </c>
      <c r="K65" s="68" t="s">
        <v>2034</v>
      </c>
      <c r="L65" s="69" t="str">
        <f aca="false">IF(AND(OR($I65="✓",$I65="n/a"),LEN(TRIM($N65&amp;""))=0),"PASS","FAIL — "&amp;IF(LEN(TRIM($N65&amp;""))&gt;0,TRIM($N65&amp;""),"velocity/ΔU outside its band or unverifiable"))</f>
        <v>PASS</v>
      </c>
      <c r="M65" s="84" t="n">
        <v>5</v>
      </c>
      <c r="N65" s="70"/>
      <c r="O65" s="16" t="str">
        <f aca="false">IF(AND(LEN(TRIM(A65&amp;""))&gt;0,TRIM(A65&amp;"")&lt;&gt;"—",LEN(TRIM(B65&amp;""))&gt;0,TRIM(B65&amp;"")&lt;&gt;"—",LEN(TRIM(C65&amp;""))&gt;0,TRIM(C65&amp;"")&lt;&gt;"—",LEN(TRIM(D65&amp;""))&gt;0,TRIM(D65&amp;"")&lt;&gt;"—",LEN(TRIM(I65&amp;""))&gt;0,TRIM(I65&amp;"")&lt;&gt;"—",LEN(TRIM(K65&amp;""))&gt;0,TRIM(K65&amp;"")&lt;&gt;"—",LEN(TRIM(L65&amp;""))&gt;0,TRIM(L65&amp;"")&lt;&gt;"—"),"PASS","⚠ FAIL — "&amp;"a required cell is empty/placeholder or wrong type")</f>
        <v>PASS</v>
      </c>
    </row>
    <row r="66" customFormat="false" ht="28.5" hidden="false" customHeight="true" outlineLevel="0" collapsed="false">
      <c r="A66" s="11" t="s">
        <v>2019</v>
      </c>
      <c r="B66" s="11" t="str">
        <f aca="false">'Part names'!$B$53</f>
        <v>Main Switchboard</v>
      </c>
      <c r="C66" s="11" t="str">
        <f aca="false">'Part names'!$B$61</f>
        <v>Motor Control Center</v>
      </c>
      <c r="D66" s="11" t="s">
        <v>2029</v>
      </c>
      <c r="E66" s="11" t="s">
        <v>2030</v>
      </c>
      <c r="F66" s="92" t="n">
        <v>0.142</v>
      </c>
      <c r="G66" s="11" t="s">
        <v>2031</v>
      </c>
      <c r="H66" s="59" t="n">
        <v>20</v>
      </c>
      <c r="I66" s="93" t="str">
        <f aca="false">IF(ISNUMBER($M66),IF(AND(ISNUMBER($F66),$F66&lt;=$M66),"✓","✗"),IF(LEN(TRIM($N66&amp;""))=0,"n/a","✗"))</f>
        <v>✓</v>
      </c>
      <c r="J66" s="36" t="n">
        <v>72</v>
      </c>
      <c r="K66" s="68" t="s">
        <v>2035</v>
      </c>
      <c r="L66" s="69" t="str">
        <f aca="false">IF(AND(OR($I66="✓",$I66="n/a"),LEN(TRIM($N66&amp;""))=0),"PASS","FAIL — "&amp;IF(LEN(TRIM($N66&amp;""))&gt;0,TRIM($N66&amp;""),"velocity/ΔU outside its band or unverifiable"))</f>
        <v>PASS</v>
      </c>
      <c r="M66" s="84" t="n">
        <v>5</v>
      </c>
      <c r="N66" s="70"/>
      <c r="O66" s="16" t="str">
        <f aca="false">IF(AND(LEN(TRIM(A66&amp;""))&gt;0,TRIM(A66&amp;"")&lt;&gt;"—",LEN(TRIM(B66&amp;""))&gt;0,TRIM(B66&amp;"")&lt;&gt;"—",LEN(TRIM(C66&amp;""))&gt;0,TRIM(C66&amp;"")&lt;&gt;"—",LEN(TRIM(D66&amp;""))&gt;0,TRIM(D66&amp;"")&lt;&gt;"—",LEN(TRIM(I66&amp;""))&gt;0,TRIM(I66&amp;"")&lt;&gt;"—",LEN(TRIM(K66&amp;""))&gt;0,TRIM(K66&amp;"")&lt;&gt;"—",LEN(TRIM(L66&amp;""))&gt;0,TRIM(L66&amp;"")&lt;&gt;"—"),"PASS","⚠ FAIL — "&amp;"a required cell is empty/placeholder or wrong type")</f>
        <v>PASS</v>
      </c>
    </row>
    <row r="67" customFormat="false" ht="28.5" hidden="false" customHeight="true" outlineLevel="0" collapsed="false">
      <c r="A67" s="11" t="s">
        <v>2021</v>
      </c>
      <c r="B67" s="11" t="str">
        <f aca="false">'Part names'!$B$61</f>
        <v>Motor Control Center</v>
      </c>
      <c r="C67" s="11" t="str">
        <f aca="false">'Part names'!$B$6</f>
        <v>3 Phase Power Input</v>
      </c>
      <c r="D67" s="11" t="s">
        <v>2029</v>
      </c>
      <c r="E67" s="11" t="s">
        <v>2030</v>
      </c>
      <c r="F67" s="92" t="n">
        <v>0.147</v>
      </c>
      <c r="G67" s="11" t="s">
        <v>2031</v>
      </c>
      <c r="H67" s="59" t="n">
        <v>5.73</v>
      </c>
      <c r="I67" s="93" t="str">
        <f aca="false">IF(ISNUMBER($M67),IF(AND(ISNUMBER($F67),$F67&lt;=$M67),"✓","✗"),IF(LEN(TRIM($N67&amp;""))=0,"n/a","✗"))</f>
        <v>✓</v>
      </c>
      <c r="J67" s="36" t="n">
        <v>29.19</v>
      </c>
      <c r="K67" s="68" t="s">
        <v>2036</v>
      </c>
      <c r="L67" s="69" t="str">
        <f aca="false">IF(AND(OR($I67="✓",$I67="n/a"),LEN(TRIM($N67&amp;""))=0),"PASS","FAIL — "&amp;IF(LEN(TRIM($N67&amp;""))&gt;0,TRIM($N67&amp;""),"velocity/ΔU outside its band or unverifiable"))</f>
        <v>PASS</v>
      </c>
      <c r="M67" s="84" t="n">
        <v>5</v>
      </c>
      <c r="N67" s="70"/>
      <c r="O67" s="16" t="str">
        <f aca="false">IF(AND(LEN(TRIM(A67&amp;""))&gt;0,TRIM(A67&amp;"")&lt;&gt;"—",LEN(TRIM(B67&amp;""))&gt;0,TRIM(B67&amp;"")&lt;&gt;"—",LEN(TRIM(C67&amp;""))&gt;0,TRIM(C67&amp;"")&lt;&gt;"—",LEN(TRIM(D67&amp;""))&gt;0,TRIM(D67&amp;"")&lt;&gt;"—",LEN(TRIM(I67&amp;""))&gt;0,TRIM(I67&amp;"")&lt;&gt;"—",LEN(TRIM(K67&amp;""))&gt;0,TRIM(K67&amp;"")&lt;&gt;"—",LEN(TRIM(L67&amp;""))&gt;0,TRIM(L67&amp;"")&lt;&gt;"—"),"PASS","⚠ FAIL — "&amp;"a required cell is empty/placeholder or wrong type")</f>
        <v>PASS</v>
      </c>
    </row>
    <row r="68" customFormat="false" ht="28.5" hidden="false" customHeight="true" outlineLevel="0" collapsed="false">
      <c r="A68" s="11" t="s">
        <v>2023</v>
      </c>
      <c r="B68" s="11" t="str">
        <f aca="false">'Part names'!$B$61</f>
        <v>Motor Control Center</v>
      </c>
      <c r="C68" s="11" t="str">
        <f aca="false">'Part names'!$B$72</f>
        <v>Piping Network</v>
      </c>
      <c r="D68" s="11" t="s">
        <v>2029</v>
      </c>
      <c r="E68" s="11" t="s">
        <v>2030</v>
      </c>
      <c r="F68" s="92" t="n">
        <v>0.661</v>
      </c>
      <c r="G68" s="11" t="s">
        <v>2031</v>
      </c>
      <c r="H68" s="59" t="n">
        <v>25.84</v>
      </c>
      <c r="I68" s="93" t="str">
        <f aca="false">IF(ISNUMBER($M68),IF(AND(ISNUMBER($F68),$F68&lt;=$M68),"✓","✗"),IF(LEN(TRIM($N68&amp;""))=0,"n/a","✗"))</f>
        <v>✓</v>
      </c>
      <c r="J68" s="36" t="n">
        <v>89.52</v>
      </c>
      <c r="K68" s="68" t="s">
        <v>2037</v>
      </c>
      <c r="L68" s="69" t="str">
        <f aca="false">IF(AND(OR($I68="✓",$I68="n/a"),LEN(TRIM($N68&amp;""))=0),"PASS","FAIL — "&amp;IF(LEN(TRIM($N68&amp;""))&gt;0,TRIM($N68&amp;""),"velocity/ΔU outside its band or unverifiable"))</f>
        <v>PASS</v>
      </c>
      <c r="M68" s="84" t="n">
        <v>5</v>
      </c>
      <c r="N68" s="70"/>
      <c r="O68" s="16" t="str">
        <f aca="false">IF(AND(LEN(TRIM(A68&amp;""))&gt;0,TRIM(A68&amp;"")&lt;&gt;"—",LEN(TRIM(B68&amp;""))&gt;0,TRIM(B68&amp;"")&lt;&gt;"—",LEN(TRIM(C68&amp;""))&gt;0,TRIM(C68&amp;"")&lt;&gt;"—",LEN(TRIM(D68&amp;""))&gt;0,TRIM(D68&amp;"")&lt;&gt;"—",LEN(TRIM(I68&amp;""))&gt;0,TRIM(I68&amp;"")&lt;&gt;"—",LEN(TRIM(K68&amp;""))&gt;0,TRIM(K68&amp;"")&lt;&gt;"—",LEN(TRIM(L68&amp;""))&gt;0,TRIM(L68&amp;"")&lt;&gt;"—"),"PASS","⚠ FAIL — "&amp;"a required cell is empty/placeholder or wrong type")</f>
        <v>PASS</v>
      </c>
    </row>
    <row r="69" customFormat="false" ht="28.5" hidden="false" customHeight="true" outlineLevel="0" collapsed="false">
      <c r="A69" s="11" t="s">
        <v>2025</v>
      </c>
      <c r="B69" s="11" t="str">
        <f aca="false">'Part names'!$B$61</f>
        <v>Motor Control Center</v>
      </c>
      <c r="C69" s="11" t="str">
        <f aca="false">'Part names'!$B$98</f>
        <v>Uv Disinfection</v>
      </c>
      <c r="D69" s="11" t="s">
        <v>2029</v>
      </c>
      <c r="E69" s="11" t="s">
        <v>2038</v>
      </c>
      <c r="F69" s="92" t="n">
        <v>1.236</v>
      </c>
      <c r="G69" s="11" t="s">
        <v>2031</v>
      </c>
      <c r="H69" s="59" t="n">
        <v>24.87</v>
      </c>
      <c r="I69" s="93" t="str">
        <f aca="false">IF(ISNUMBER($M69),IF(AND(ISNUMBER($F69),$F69&lt;=$M69),"✓","✗"),IF(LEN(TRIM($N69&amp;""))=0,"n/a","✗"))</f>
        <v>✓</v>
      </c>
      <c r="J69" s="36" t="n">
        <v>86.61</v>
      </c>
      <c r="K69" s="68" t="s">
        <v>2039</v>
      </c>
      <c r="L69" s="69" t="str">
        <f aca="false">IF(AND(OR($I69="✓",$I69="n/a"),LEN(TRIM($N69&amp;""))=0),"PASS","FAIL — "&amp;IF(LEN(TRIM($N69&amp;""))&gt;0,TRIM($N69&amp;""),"velocity/ΔU outside its band or unverifiable"))</f>
        <v>PASS</v>
      </c>
      <c r="M69" s="84" t="n">
        <v>5</v>
      </c>
      <c r="N69" s="70"/>
      <c r="O69" s="16" t="str">
        <f aca="false">IF(AND(LEN(TRIM(A69&amp;""))&gt;0,TRIM(A69&amp;"")&lt;&gt;"—",LEN(TRIM(B69&amp;""))&gt;0,TRIM(B69&amp;"")&lt;&gt;"—",LEN(TRIM(C69&amp;""))&gt;0,TRIM(C69&amp;"")&lt;&gt;"—",LEN(TRIM(D69&amp;""))&gt;0,TRIM(D69&amp;"")&lt;&gt;"—",LEN(TRIM(I69&amp;""))&gt;0,TRIM(I69&amp;"")&lt;&gt;"—",LEN(TRIM(K69&amp;""))&gt;0,TRIM(K69&amp;"")&lt;&gt;"—",LEN(TRIM(L69&amp;""))&gt;0,TRIM(L69&amp;"")&lt;&gt;"—"),"PASS","⚠ FAIL — "&amp;"a required cell is empty/placeholder or wrong type")</f>
        <v>PASS</v>
      </c>
    </row>
    <row r="70" customFormat="false" ht="28.5" hidden="false" customHeight="true" outlineLevel="0" collapsed="false">
      <c r="A70" s="11" t="s">
        <v>2040</v>
      </c>
      <c r="B70" s="11" t="str">
        <f aca="false">'Part names'!$B$61</f>
        <v>Motor Control Center</v>
      </c>
      <c r="C70" s="11" t="str">
        <f aca="false">'Part names'!$B$32</f>
        <v>Fertigation Dosing Pump</v>
      </c>
      <c r="D70" s="11" t="s">
        <v>2029</v>
      </c>
      <c r="E70" s="11" t="s">
        <v>2041</v>
      </c>
      <c r="F70" s="92" t="n">
        <v>2.145</v>
      </c>
      <c r="G70" s="11" t="s">
        <v>2031</v>
      </c>
      <c r="H70" s="59" t="n">
        <v>23.74</v>
      </c>
      <c r="I70" s="93" t="str">
        <f aca="false">IF(ISNUMBER($M70),IF(AND(ISNUMBER($F70),$F70&lt;=$M70),"✓","✗"),IF(LEN(TRIM($N70&amp;""))=0,"n/a","✗"))</f>
        <v>✓</v>
      </c>
      <c r="J70" s="36" t="n">
        <v>83.22</v>
      </c>
      <c r="K70" s="68" t="s">
        <v>2042</v>
      </c>
      <c r="L70" s="69" t="str">
        <f aca="false">IF(AND(OR($I70="✓",$I70="n/a"),LEN(TRIM($N70&amp;""))=0),"PASS","FAIL — "&amp;IF(LEN(TRIM($N70&amp;""))&gt;0,TRIM($N70&amp;""),"velocity/ΔU outside its band or unverifiable"))</f>
        <v>PASS</v>
      </c>
      <c r="M70" s="84" t="n">
        <v>5</v>
      </c>
      <c r="N70" s="70"/>
      <c r="O70" s="16" t="str">
        <f aca="false">IF(AND(LEN(TRIM(A70&amp;""))&gt;0,TRIM(A70&amp;"")&lt;&gt;"—",LEN(TRIM(B70&amp;""))&gt;0,TRIM(B70&amp;"")&lt;&gt;"—",LEN(TRIM(C70&amp;""))&gt;0,TRIM(C70&amp;"")&lt;&gt;"—",LEN(TRIM(D70&amp;""))&gt;0,TRIM(D70&amp;"")&lt;&gt;"—",LEN(TRIM(I70&amp;""))&gt;0,TRIM(I70&amp;"")&lt;&gt;"—",LEN(TRIM(K70&amp;""))&gt;0,TRIM(K70&amp;"")&lt;&gt;"—",LEN(TRIM(L70&amp;""))&gt;0,TRIM(L70&amp;"")&lt;&gt;"—"),"PASS","⚠ FAIL — "&amp;"a required cell is empty/placeholder or wrong type")</f>
        <v>PASS</v>
      </c>
    </row>
    <row r="71" customFormat="false" ht="28.5" hidden="false" customHeight="true" outlineLevel="0" collapsed="false">
      <c r="A71" s="11" t="s">
        <v>2043</v>
      </c>
      <c r="B71" s="11" t="str">
        <f aca="false">'Part names'!$B$61</f>
        <v>Motor Control Center</v>
      </c>
      <c r="C71" s="11" t="str">
        <f aca="false">'Part names'!$B$40</f>
        <v>Hand Watering Pump</v>
      </c>
      <c r="D71" s="11" t="s">
        <v>2029</v>
      </c>
      <c r="E71" s="11" t="s">
        <v>2030</v>
      </c>
      <c r="F71" s="92" t="n">
        <v>0.8</v>
      </c>
      <c r="G71" s="11" t="s">
        <v>2031</v>
      </c>
      <c r="H71" s="59" t="n">
        <v>31.25</v>
      </c>
      <c r="I71" s="93" t="str">
        <f aca="false">IF(ISNUMBER($M71),IF(AND(ISNUMBER($F71),$F71&lt;=$M71),"✓","✗"),IF(LEN(TRIM($N71&amp;""))=0,"n/a","✗"))</f>
        <v>✓</v>
      </c>
      <c r="J71" s="36" t="n">
        <v>105.75</v>
      </c>
      <c r="K71" s="68" t="s">
        <v>2044</v>
      </c>
      <c r="L71" s="69" t="str">
        <f aca="false">IF(AND(OR($I71="✓",$I71="n/a"),LEN(TRIM($N71&amp;""))=0),"PASS","FAIL — "&amp;IF(LEN(TRIM($N71&amp;""))&gt;0,TRIM($N71&amp;""),"velocity/ΔU outside its band or unverifiable"))</f>
        <v>PASS</v>
      </c>
      <c r="M71" s="84" t="n">
        <v>5</v>
      </c>
      <c r="N71" s="70"/>
      <c r="O71" s="16" t="str">
        <f aca="false">IF(AND(LEN(TRIM(A71&amp;""))&gt;0,TRIM(A71&amp;"")&lt;&gt;"—",LEN(TRIM(B71&amp;""))&gt;0,TRIM(B71&amp;"")&lt;&gt;"—",LEN(TRIM(C71&amp;""))&gt;0,TRIM(C71&amp;"")&lt;&gt;"—",LEN(TRIM(D71&amp;""))&gt;0,TRIM(D71&amp;"")&lt;&gt;"—",LEN(TRIM(I71&amp;""))&gt;0,TRIM(I71&amp;"")&lt;&gt;"—",LEN(TRIM(K71&amp;""))&gt;0,TRIM(K71&amp;"")&lt;&gt;"—",LEN(TRIM(L71&amp;""))&gt;0,TRIM(L71&amp;"")&lt;&gt;"—"),"PASS","⚠ FAIL — "&amp;"a required cell is empty/placeholder or wrong type")</f>
        <v>PASS</v>
      </c>
    </row>
    <row r="72" customFormat="false" ht="28.5" hidden="false" customHeight="true" outlineLevel="0" collapsed="false">
      <c r="A72" s="11" t="s">
        <v>2045</v>
      </c>
      <c r="B72" s="11" t="str">
        <f aca="false">'Part names'!$B$61</f>
        <v>Motor Control Center</v>
      </c>
      <c r="C72" s="11" t="str">
        <f aca="false">'Part names'!$B$26</f>
        <v>Drain Transfer Pump</v>
      </c>
      <c r="D72" s="11" t="s">
        <v>2029</v>
      </c>
      <c r="E72" s="11" t="s">
        <v>2046</v>
      </c>
      <c r="F72" s="92" t="n">
        <v>0.638</v>
      </c>
      <c r="G72" s="11" t="s">
        <v>2031</v>
      </c>
      <c r="H72" s="59" t="n">
        <v>27.34</v>
      </c>
      <c r="I72" s="93" t="str">
        <f aca="false">IF(ISNUMBER($M72),IF(AND(ISNUMBER($F72),$F72&lt;=$M72),"✓","✗"),IF(LEN(TRIM($N72&amp;""))=0,"n/a","✗"))</f>
        <v>✓</v>
      </c>
      <c r="J72" s="36" t="n">
        <v>94.02</v>
      </c>
      <c r="K72" s="68" t="s">
        <v>2047</v>
      </c>
      <c r="L72" s="69" t="str">
        <f aca="false">IF(AND(OR($I72="✓",$I72="n/a"),LEN(TRIM($N72&amp;""))=0),"PASS","FAIL — "&amp;IF(LEN(TRIM($N72&amp;""))&gt;0,TRIM($N72&amp;""),"velocity/ΔU outside its band or unverifiable"))</f>
        <v>PASS</v>
      </c>
      <c r="M72" s="84" t="n">
        <v>5</v>
      </c>
      <c r="N72" s="70"/>
      <c r="O72" s="16" t="str">
        <f aca="false">IF(AND(LEN(TRIM(A72&amp;""))&gt;0,TRIM(A72&amp;"")&lt;&gt;"—",LEN(TRIM(B72&amp;""))&gt;0,TRIM(B72&amp;"")&lt;&gt;"—",LEN(TRIM(C72&amp;""))&gt;0,TRIM(C72&amp;"")&lt;&gt;"—",LEN(TRIM(D72&amp;""))&gt;0,TRIM(D72&amp;"")&lt;&gt;"—",LEN(TRIM(I72&amp;""))&gt;0,TRIM(I72&amp;"")&lt;&gt;"—",LEN(TRIM(K72&amp;""))&gt;0,TRIM(K72&amp;"")&lt;&gt;"—",LEN(TRIM(L72&amp;""))&gt;0,TRIM(L72&amp;"")&lt;&gt;"—"),"PASS","⚠ FAIL — "&amp;"a required cell is empty/placeholder or wrong type")</f>
        <v>PASS</v>
      </c>
    </row>
    <row r="73" customFormat="false" ht="28.5" hidden="false" customHeight="true" outlineLevel="0" collapsed="false">
      <c r="A73" s="11" t="s">
        <v>2048</v>
      </c>
      <c r="B73" s="11" t="str">
        <f aca="false">'Part names'!$B$61</f>
        <v>Motor Control Center</v>
      </c>
      <c r="C73" s="11" t="str">
        <f aca="false">'Part names'!$B$16</f>
        <v>Cloth Filter</v>
      </c>
      <c r="D73" s="11" t="s">
        <v>2029</v>
      </c>
      <c r="E73" s="11" t="s">
        <v>2030</v>
      </c>
      <c r="F73" s="92" t="n">
        <v>0.543</v>
      </c>
      <c r="G73" s="11" t="s">
        <v>2031</v>
      </c>
      <c r="H73" s="59" t="n">
        <v>21.22</v>
      </c>
      <c r="I73" s="93" t="str">
        <f aca="false">IF(ISNUMBER($M73),IF(AND(ISNUMBER($F73),$F73&lt;=$M73),"✓","✗"),IF(LEN(TRIM($N73&amp;""))=0,"n/a","✗"))</f>
        <v>✓</v>
      </c>
      <c r="J73" s="36" t="n">
        <v>75.66</v>
      </c>
      <c r="K73" s="68" t="s">
        <v>2049</v>
      </c>
      <c r="L73" s="69" t="str">
        <f aca="false">IF(AND(OR($I73="✓",$I73="n/a"),LEN(TRIM($N73&amp;""))=0),"PASS","FAIL — "&amp;IF(LEN(TRIM($N73&amp;""))&gt;0,TRIM($N73&amp;""),"velocity/ΔU outside its band or unverifiable"))</f>
        <v>PASS</v>
      </c>
      <c r="M73" s="84" t="n">
        <v>5</v>
      </c>
      <c r="N73" s="70"/>
      <c r="O73" s="16" t="str">
        <f aca="false">IF(AND(LEN(TRIM(A73&amp;""))&gt;0,TRIM(A73&amp;"")&lt;&gt;"—",LEN(TRIM(B73&amp;""))&gt;0,TRIM(B73&amp;"")&lt;&gt;"—",LEN(TRIM(C73&amp;""))&gt;0,TRIM(C73&amp;"")&lt;&gt;"—",LEN(TRIM(D73&amp;""))&gt;0,TRIM(D73&amp;"")&lt;&gt;"—",LEN(TRIM(I73&amp;""))&gt;0,TRIM(I73&amp;"")&lt;&gt;"—",LEN(TRIM(K73&amp;""))&gt;0,TRIM(K73&amp;"")&lt;&gt;"—",LEN(TRIM(L73&amp;""))&gt;0,TRIM(L73&amp;"")&lt;&gt;"—"),"PASS","⚠ FAIL — "&amp;"a required cell is empty/placeholder or wrong type")</f>
        <v>PASS</v>
      </c>
    </row>
    <row r="74" customFormat="false" ht="28.5" hidden="false" customHeight="true" outlineLevel="0" collapsed="false">
      <c r="A74" s="11" t="s">
        <v>2050</v>
      </c>
      <c r="B74" s="11" t="str">
        <f aca="false">'Part names'!$B$61</f>
        <v>Motor Control Center</v>
      </c>
      <c r="C74" s="11" t="str">
        <f aca="false">'Part names'!$B$47</f>
        <v>Irrigation Pump</v>
      </c>
      <c r="D74" s="11" t="s">
        <v>2029</v>
      </c>
      <c r="E74" s="11" t="s">
        <v>2030</v>
      </c>
      <c r="F74" s="92" t="n">
        <v>0.718</v>
      </c>
      <c r="G74" s="11" t="s">
        <v>2031</v>
      </c>
      <c r="H74" s="59" t="n">
        <v>28.05</v>
      </c>
      <c r="I74" s="93" t="str">
        <f aca="false">IF(ISNUMBER($M74),IF(AND(ISNUMBER($F74),$F74&lt;=$M74),"✓","✗"),IF(LEN(TRIM($N74&amp;""))=0,"n/a","✗"))</f>
        <v>✓</v>
      </c>
      <c r="J74" s="36" t="n">
        <v>96.15</v>
      </c>
      <c r="K74" s="68" t="s">
        <v>2051</v>
      </c>
      <c r="L74" s="69" t="str">
        <f aca="false">IF(AND(OR($I74="✓",$I74="n/a"),LEN(TRIM($N74&amp;""))=0),"PASS","FAIL — "&amp;IF(LEN(TRIM($N74&amp;""))&gt;0,TRIM($N74&amp;""),"velocity/ΔU outside its band or unverifiable"))</f>
        <v>PASS</v>
      </c>
      <c r="M74" s="84" t="n">
        <v>5</v>
      </c>
      <c r="N74" s="70"/>
      <c r="O74" s="16" t="str">
        <f aca="false">IF(AND(LEN(TRIM(A74&amp;""))&gt;0,TRIM(A74&amp;"")&lt;&gt;"—",LEN(TRIM(B74&amp;""))&gt;0,TRIM(B74&amp;"")&lt;&gt;"—",LEN(TRIM(C74&amp;""))&gt;0,TRIM(C74&amp;"")&lt;&gt;"—",LEN(TRIM(D74&amp;""))&gt;0,TRIM(D74&amp;"")&lt;&gt;"—",LEN(TRIM(I74&amp;""))&gt;0,TRIM(I74&amp;"")&lt;&gt;"—",LEN(TRIM(K74&amp;""))&gt;0,TRIM(K74&amp;"")&lt;&gt;"—",LEN(TRIM(L74&amp;""))&gt;0,TRIM(L74&amp;"")&lt;&gt;"—"),"PASS","⚠ FAIL — "&amp;"a required cell is empty/placeholder or wrong type")</f>
        <v>PASS</v>
      </c>
    </row>
    <row r="75" customFormat="false" ht="28.5" hidden="false" customHeight="true" outlineLevel="0" collapsed="false">
      <c r="A75" s="11" t="s">
        <v>2052</v>
      </c>
      <c r="B75" s="11" t="str">
        <f aca="false">'Part names'!$B$61</f>
        <v>Motor Control Center</v>
      </c>
      <c r="C75" s="11" t="str">
        <f aca="false">'Part names'!$B$82</f>
        <v>Ro High Pressure Pump</v>
      </c>
      <c r="D75" s="11" t="s">
        <v>2029</v>
      </c>
      <c r="E75" s="11" t="s">
        <v>2053</v>
      </c>
      <c r="F75" s="92" t="n">
        <v>1.636</v>
      </c>
      <c r="G75" s="11" t="s">
        <v>2031</v>
      </c>
      <c r="H75" s="59" t="n">
        <v>32.43</v>
      </c>
      <c r="I75" s="93" t="str">
        <f aca="false">IF(ISNUMBER($M75),IF(AND(ISNUMBER($F75),$F75&lt;=$M75),"✓","✗"),IF(LEN(TRIM($N75&amp;""))=0,"n/a","✗"))</f>
        <v>✓</v>
      </c>
      <c r="J75" s="36" t="n">
        <v>109.29</v>
      </c>
      <c r="K75" s="68" t="s">
        <v>2054</v>
      </c>
      <c r="L75" s="69" t="str">
        <f aca="false">IF(AND(OR($I75="✓",$I75="n/a"),LEN(TRIM($N75&amp;""))=0),"PASS","FAIL — "&amp;IF(LEN(TRIM($N75&amp;""))&gt;0,TRIM($N75&amp;""),"velocity/ΔU outside its band or unverifiable"))</f>
        <v>PASS</v>
      </c>
      <c r="M75" s="84" t="n">
        <v>5</v>
      </c>
      <c r="N75" s="70"/>
      <c r="O75" s="16" t="str">
        <f aca="false">IF(AND(LEN(TRIM(A75&amp;""))&gt;0,TRIM(A75&amp;"")&lt;&gt;"—",LEN(TRIM(B75&amp;""))&gt;0,TRIM(B75&amp;"")&lt;&gt;"—",LEN(TRIM(C75&amp;""))&gt;0,TRIM(C75&amp;"")&lt;&gt;"—",LEN(TRIM(D75&amp;""))&gt;0,TRIM(D75&amp;"")&lt;&gt;"—",LEN(TRIM(I75&amp;""))&gt;0,TRIM(I75&amp;"")&lt;&gt;"—",LEN(TRIM(K75&amp;""))&gt;0,TRIM(K75&amp;"")&lt;&gt;"—",LEN(TRIM(L75&amp;""))&gt;0,TRIM(L75&amp;"")&lt;&gt;"—"),"PASS","⚠ FAIL — "&amp;"a required cell is empty/placeholder or wrong type")</f>
        <v>PASS</v>
      </c>
    </row>
    <row r="76" customFormat="false" ht="28.5" hidden="false" customHeight="true" outlineLevel="0" collapsed="false">
      <c r="A76" s="11" t="s">
        <v>2055</v>
      </c>
      <c r="B76" s="11" t="str">
        <f aca="false">'Part names'!$B$61</f>
        <v>Motor Control Center</v>
      </c>
      <c r="C76" s="11" t="str">
        <f aca="false">'Part names'!$B$37</f>
        <v>Gac Filter</v>
      </c>
      <c r="D76" s="11" t="s">
        <v>2029</v>
      </c>
      <c r="E76" s="11" t="s">
        <v>2030</v>
      </c>
      <c r="F76" s="92" t="n">
        <v>0.862</v>
      </c>
      <c r="G76" s="11" t="s">
        <v>2031</v>
      </c>
      <c r="H76" s="59" t="n">
        <v>33.68</v>
      </c>
      <c r="I76" s="93" t="str">
        <f aca="false">IF(ISNUMBER($M76),IF(AND(ISNUMBER($F76),$F76&lt;=$M76),"✓","✗"),IF(LEN(TRIM($N76&amp;""))=0,"n/a","✗"))</f>
        <v>✓</v>
      </c>
      <c r="J76" s="36" t="n">
        <v>113.04</v>
      </c>
      <c r="K76" s="68" t="s">
        <v>2056</v>
      </c>
      <c r="L76" s="69" t="str">
        <f aca="false">IF(AND(OR($I76="✓",$I76="n/a"),LEN(TRIM($N76&amp;""))=0),"PASS","FAIL — "&amp;IF(LEN(TRIM($N76&amp;""))&gt;0,TRIM($N76&amp;""),"velocity/ΔU outside its band or unverifiable"))</f>
        <v>PASS</v>
      </c>
      <c r="M76" s="84" t="n">
        <v>5</v>
      </c>
      <c r="N76" s="70"/>
      <c r="O76" s="16" t="str">
        <f aca="false">IF(AND(LEN(TRIM(A76&amp;""))&gt;0,TRIM(A76&amp;"")&lt;&gt;"—",LEN(TRIM(B76&amp;""))&gt;0,TRIM(B76&amp;"")&lt;&gt;"—",LEN(TRIM(C76&amp;""))&gt;0,TRIM(C76&amp;"")&lt;&gt;"—",LEN(TRIM(D76&amp;""))&gt;0,TRIM(D76&amp;"")&lt;&gt;"—",LEN(TRIM(I76&amp;""))&gt;0,TRIM(I76&amp;"")&lt;&gt;"—",LEN(TRIM(K76&amp;""))&gt;0,TRIM(K76&amp;"")&lt;&gt;"—",LEN(TRIM(L76&amp;""))&gt;0,TRIM(L76&amp;"")&lt;&gt;"—"),"PASS","⚠ FAIL — "&amp;"a required cell is empty/placeholder or wrong type")</f>
        <v>PASS</v>
      </c>
    </row>
    <row r="77" customFormat="false" ht="28.5" hidden="false" customHeight="true" outlineLevel="0" collapsed="false">
      <c r="A77" s="11" t="s">
        <v>2057</v>
      </c>
      <c r="B77" s="11" t="str">
        <f aca="false">'Part names'!$B$61</f>
        <v>Motor Control Center</v>
      </c>
      <c r="C77" s="11" t="str">
        <f aca="false">'Part names'!$B$69</f>
        <v>Permeate Outlet</v>
      </c>
      <c r="D77" s="11" t="s">
        <v>2029</v>
      </c>
      <c r="E77" s="11" t="s">
        <v>2030</v>
      </c>
      <c r="F77" s="92" t="n">
        <v>0.27</v>
      </c>
      <c r="G77" s="11" t="s">
        <v>2031</v>
      </c>
      <c r="H77" s="59" t="n">
        <v>10.54</v>
      </c>
      <c r="I77" s="93" t="str">
        <f aca="false">IF(ISNUMBER($M77),IF(AND(ISNUMBER($F77),$F77&lt;=$M77),"✓","✗"),IF(LEN(TRIM($N77&amp;""))=0,"n/a","✗"))</f>
        <v>✓</v>
      </c>
      <c r="J77" s="36" t="n">
        <v>43.62</v>
      </c>
      <c r="K77" s="68" t="s">
        <v>2058</v>
      </c>
      <c r="L77" s="69" t="str">
        <f aca="false">IF(AND(OR($I77="✓",$I77="n/a"),LEN(TRIM($N77&amp;""))=0),"PASS","FAIL — "&amp;IF(LEN(TRIM($N77&amp;""))&gt;0,TRIM($N77&amp;""),"velocity/ΔU outside its band or unverifiable"))</f>
        <v>PASS</v>
      </c>
      <c r="M77" s="84" t="n">
        <v>5</v>
      </c>
      <c r="N77" s="70"/>
      <c r="O77" s="16" t="str">
        <f aca="false">IF(AND(LEN(TRIM(A77&amp;""))&gt;0,TRIM(A77&amp;"")&lt;&gt;"—",LEN(TRIM(B77&amp;""))&gt;0,TRIM(B77&amp;"")&lt;&gt;"—",LEN(TRIM(C77&amp;""))&gt;0,TRIM(C77&amp;"")&lt;&gt;"—",LEN(TRIM(D77&amp;""))&gt;0,TRIM(D77&amp;"")&lt;&gt;"—",LEN(TRIM(I77&amp;""))&gt;0,TRIM(I77&amp;"")&lt;&gt;"—",LEN(TRIM(K77&amp;""))&gt;0,TRIM(K77&amp;"")&lt;&gt;"—",LEN(TRIM(L77&amp;""))&gt;0,TRIM(L77&amp;"")&lt;&gt;"—"),"PASS","⚠ FAIL — "&amp;"a required cell is empty/placeholder or wrong type")</f>
        <v>PASS</v>
      </c>
    </row>
    <row r="78" customFormat="false" ht="28.5" hidden="false" customHeight="true" outlineLevel="0" collapsed="false">
      <c r="A78" s="11" t="s">
        <v>2059</v>
      </c>
      <c r="B78" s="11" t="str">
        <f aca="false">'Part names'!$B$61</f>
        <v>Motor Control Center</v>
      </c>
      <c r="C78" s="11" t="str">
        <f aca="false">'Part names'!$B$18</f>
        <v>Concentrate Outlet</v>
      </c>
      <c r="D78" s="11" t="s">
        <v>2029</v>
      </c>
      <c r="E78" s="11" t="s">
        <v>2030</v>
      </c>
      <c r="F78" s="92" t="n">
        <v>0.193</v>
      </c>
      <c r="G78" s="11" t="s">
        <v>2031</v>
      </c>
      <c r="H78" s="59" t="n">
        <v>7.54</v>
      </c>
      <c r="I78" s="93" t="str">
        <f aca="false">IF(ISNUMBER($M78),IF(AND(ISNUMBER($F78),$F78&lt;=$M78),"✓","✗"),IF(LEN(TRIM($N78&amp;""))=0,"n/a","✗"))</f>
        <v>✓</v>
      </c>
      <c r="J78" s="36" t="n">
        <v>34.62</v>
      </c>
      <c r="K78" s="68" t="s">
        <v>2060</v>
      </c>
      <c r="L78" s="69" t="str">
        <f aca="false">IF(AND(OR($I78="✓",$I78="n/a"),LEN(TRIM($N78&amp;""))=0),"PASS","FAIL — "&amp;IF(LEN(TRIM($N78&amp;""))&gt;0,TRIM($N78&amp;""),"velocity/ΔU outside its band or unverifiable"))</f>
        <v>PASS</v>
      </c>
      <c r="M78" s="84" t="n">
        <v>5</v>
      </c>
      <c r="N78" s="70"/>
      <c r="O78" s="16" t="str">
        <f aca="false">IF(AND(LEN(TRIM(A78&amp;""))&gt;0,TRIM(A78&amp;"")&lt;&gt;"—",LEN(TRIM(B78&amp;""))&gt;0,TRIM(B78&amp;"")&lt;&gt;"—",LEN(TRIM(C78&amp;""))&gt;0,TRIM(C78&amp;"")&lt;&gt;"—",LEN(TRIM(D78&amp;""))&gt;0,TRIM(D78&amp;"")&lt;&gt;"—",LEN(TRIM(I78&amp;""))&gt;0,TRIM(I78&amp;"")&lt;&gt;"—",LEN(TRIM(K78&amp;""))&gt;0,TRIM(K78&amp;"")&lt;&gt;"—",LEN(TRIM(L78&amp;""))&gt;0,TRIM(L78&amp;"")&lt;&gt;"—"),"PASS","⚠ FAIL — "&amp;"a required cell is empty/placeholder or wrong type")</f>
        <v>PASS</v>
      </c>
    </row>
    <row r="79" customFormat="false" ht="28.5" hidden="false" customHeight="true" outlineLevel="0" collapsed="false">
      <c r="A79" s="11" t="s">
        <v>2061</v>
      </c>
      <c r="B79" s="11" t="str">
        <f aca="false">'Part names'!$B$61</f>
        <v>Motor Control Center</v>
      </c>
      <c r="C79" s="11" t="str">
        <f aca="false">'Part names'!$B$29</f>
        <v>Electrical Control Panel</v>
      </c>
      <c r="D79" s="11" t="s">
        <v>2029</v>
      </c>
      <c r="E79" s="11" t="s">
        <v>2030</v>
      </c>
      <c r="F79" s="92" t="n">
        <v>0.092</v>
      </c>
      <c r="G79" s="11" t="s">
        <v>2031</v>
      </c>
      <c r="H79" s="59" t="n">
        <v>3.59</v>
      </c>
      <c r="I79" s="93" t="str">
        <f aca="false">IF(ISNUMBER($M79),IF(AND(ISNUMBER($F79),$F79&lt;=$M79),"✓","✗"),IF(LEN(TRIM($N79&amp;""))=0,"n/a","✗"))</f>
        <v>✓</v>
      </c>
      <c r="J79" s="36" t="n">
        <v>22.77</v>
      </c>
      <c r="K79" s="68" t="s">
        <v>2062</v>
      </c>
      <c r="L79" s="69" t="str">
        <f aca="false">IF(AND(OR($I79="✓",$I79="n/a"),LEN(TRIM($N79&amp;""))=0),"PASS","FAIL — "&amp;IF(LEN(TRIM($N79&amp;""))&gt;0,TRIM($N79&amp;""),"velocity/ΔU outside its band or unverifiable"))</f>
        <v>PASS</v>
      </c>
      <c r="M79" s="84" t="n">
        <v>5</v>
      </c>
      <c r="N79" s="70"/>
      <c r="O79" s="16" t="str">
        <f aca="false">IF(AND(LEN(TRIM(A79&amp;""))&gt;0,TRIM(A79&amp;"")&lt;&gt;"—",LEN(TRIM(B79&amp;""))&gt;0,TRIM(B79&amp;"")&lt;&gt;"—",LEN(TRIM(C79&amp;""))&gt;0,TRIM(C79&amp;"")&lt;&gt;"—",LEN(TRIM(D79&amp;""))&gt;0,TRIM(D79&amp;"")&lt;&gt;"—",LEN(TRIM(I79&amp;""))&gt;0,TRIM(I79&amp;"")&lt;&gt;"—",LEN(TRIM(K79&amp;""))&gt;0,TRIM(K79&amp;"")&lt;&gt;"—",LEN(TRIM(L79&amp;""))&gt;0,TRIM(L79&amp;"")&lt;&gt;"—"),"PASS","⚠ FAIL — "&amp;"a required cell is empty/placeholder or wrong type")</f>
        <v>PASS</v>
      </c>
    </row>
    <row r="80" customFormat="false" ht="28.5" hidden="false" customHeight="true" outlineLevel="0" collapsed="false">
      <c r="A80" s="11" t="s">
        <v>2063</v>
      </c>
      <c r="B80" s="11" t="str">
        <f aca="false">'Part names'!$B$29</f>
        <v>Electrical Control Panel</v>
      </c>
      <c r="C80" s="11" t="str">
        <f aca="false">'Part names'!$B$23</f>
        <v>Digital Control Panel</v>
      </c>
      <c r="D80" s="11" t="s">
        <v>2029</v>
      </c>
      <c r="E80" s="11" t="s">
        <v>2064</v>
      </c>
      <c r="F80" s="92" t="n">
        <v>0.009</v>
      </c>
      <c r="G80" s="11" t="s">
        <v>2031</v>
      </c>
      <c r="H80" s="59" t="n">
        <v>2.89</v>
      </c>
      <c r="I80" s="93" t="str">
        <f aca="false">IF(ISNUMBER($M80),IF(AND(ISNUMBER($F80),$F80&lt;=$M80),"✓","✗"),IF(LEN(TRIM($N80&amp;""))=0,"n/a","✗"))</f>
        <v>✓</v>
      </c>
      <c r="J80" s="36" t="n">
        <v>20.67</v>
      </c>
      <c r="K80" s="68" t="s">
        <v>2065</v>
      </c>
      <c r="L80" s="69" t="str">
        <f aca="false">IF(AND(OR($I80="✓",$I80="n/a"),LEN(TRIM($N80&amp;""))=0),"PASS","FAIL — "&amp;IF(LEN(TRIM($N80&amp;""))&gt;0,TRIM($N80&amp;""),"velocity/ΔU outside its band or unverifiable"))</f>
        <v>PASS</v>
      </c>
      <c r="M80" s="84" t="n">
        <v>5</v>
      </c>
      <c r="N80" s="70"/>
      <c r="O80" s="16" t="str">
        <f aca="false">IF(AND(LEN(TRIM(A80&amp;""))&gt;0,TRIM(A80&amp;"")&lt;&gt;"—",LEN(TRIM(B80&amp;""))&gt;0,TRIM(B80&amp;"")&lt;&gt;"—",LEN(TRIM(C80&amp;""))&gt;0,TRIM(C80&amp;"")&lt;&gt;"—",LEN(TRIM(D80&amp;""))&gt;0,TRIM(D80&amp;"")&lt;&gt;"—",LEN(TRIM(I80&amp;""))&gt;0,TRIM(I80&amp;"")&lt;&gt;"—",LEN(TRIM(K80&amp;""))&gt;0,TRIM(K80&amp;"")&lt;&gt;"—",LEN(TRIM(L80&amp;""))&gt;0,TRIM(L80&amp;"")&lt;&gt;"—"),"PASS","⚠ FAIL — "&amp;"a required cell is empty/placeholder or wrong type")</f>
        <v>PASS</v>
      </c>
    </row>
    <row r="81" customFormat="false" ht="28.5" hidden="false" customHeight="true" outlineLevel="0" collapsed="false">
      <c r="A81" s="11" t="s">
        <v>2066</v>
      </c>
      <c r="B81" s="11" t="str">
        <f aca="false">'Part names'!$B$61</f>
        <v>Motor Control Center</v>
      </c>
      <c r="C81" s="11" t="str">
        <f aca="false">'Part names'!$B$20</f>
        <v>Control + Instrument UPS</v>
      </c>
      <c r="D81" s="11" t="s">
        <v>2029</v>
      </c>
      <c r="E81" s="11" t="s">
        <v>2030</v>
      </c>
      <c r="F81" s="92" t="n">
        <v>0.092</v>
      </c>
      <c r="G81" s="11" t="s">
        <v>2031</v>
      </c>
      <c r="H81" s="59" t="n">
        <v>3.62</v>
      </c>
      <c r="I81" s="93" t="str">
        <f aca="false">IF(ISNUMBER($M81),IF(AND(ISNUMBER($F81),$F81&lt;=$M81),"✓","✗"),IF(LEN(TRIM($N81&amp;""))=0,"n/a","✗"))</f>
        <v>✓</v>
      </c>
      <c r="J81" s="36" t="n">
        <v>22.86</v>
      </c>
      <c r="K81" s="68" t="s">
        <v>2067</v>
      </c>
      <c r="L81" s="69" t="str">
        <f aca="false">IF(AND(OR($I81="✓",$I81="n/a"),LEN(TRIM($N81&amp;""))=0),"PASS","FAIL — "&amp;IF(LEN(TRIM($N81&amp;""))&gt;0,TRIM($N81&amp;""),"velocity/ΔU outside its band or unverifiable"))</f>
        <v>PASS</v>
      </c>
      <c r="M81" s="84" t="n">
        <v>5</v>
      </c>
      <c r="N81" s="70"/>
      <c r="O81" s="16" t="str">
        <f aca="false">IF(AND(LEN(TRIM(A81&amp;""))&gt;0,TRIM(A81&amp;"")&lt;&gt;"—",LEN(TRIM(B81&amp;""))&gt;0,TRIM(B81&amp;"")&lt;&gt;"—",LEN(TRIM(C81&amp;""))&gt;0,TRIM(C81&amp;"")&lt;&gt;"—",LEN(TRIM(D81&amp;""))&gt;0,TRIM(D81&amp;"")&lt;&gt;"—",LEN(TRIM(I81&amp;""))&gt;0,TRIM(I81&amp;"")&lt;&gt;"—",LEN(TRIM(K81&amp;""))&gt;0,TRIM(K81&amp;"")&lt;&gt;"—",LEN(TRIM(L81&amp;""))&gt;0,TRIM(L81&amp;"")&lt;&gt;"—"),"PASS","⚠ FAIL — "&amp;"a required cell is empty/placeholder or wrong type")</f>
        <v>PASS</v>
      </c>
    </row>
    <row r="82" customFormat="false" ht="28.5" hidden="false" customHeight="true" outlineLevel="0" collapsed="false">
      <c r="A82" s="11" t="s">
        <v>2068</v>
      </c>
      <c r="B82" s="11" t="str">
        <f aca="false">'Part names'!$B$20</f>
        <v>Control + Instrument UPS</v>
      </c>
      <c r="C82" s="11" t="str">
        <f aca="false">'Part names'!$B$23</f>
        <v>Digital Control Panel</v>
      </c>
      <c r="D82" s="11" t="s">
        <v>2029</v>
      </c>
      <c r="E82" s="11" t="s">
        <v>2064</v>
      </c>
      <c r="F82" s="92" t="n">
        <v>0.008</v>
      </c>
      <c r="G82" s="11" t="s">
        <v>2031</v>
      </c>
      <c r="H82" s="59" t="n">
        <v>2.46</v>
      </c>
      <c r="I82" s="93" t="str">
        <f aca="false">IF(ISNUMBER($M82),IF(AND(ISNUMBER($F82),$F82&lt;=$M82),"✓","✗"),IF(LEN(TRIM($N82&amp;""))=0,"n/a","✗"))</f>
        <v>✓</v>
      </c>
      <c r="J82" s="36" t="n">
        <v>19.38</v>
      </c>
      <c r="K82" s="68" t="s">
        <v>2069</v>
      </c>
      <c r="L82" s="69" t="str">
        <f aca="false">IF(AND(OR($I82="✓",$I82="n/a"),LEN(TRIM($N82&amp;""))=0),"PASS","FAIL — "&amp;IF(LEN(TRIM($N82&amp;""))&gt;0,TRIM($N82&amp;""),"velocity/ΔU outside its band or unverifiable"))</f>
        <v>PASS</v>
      </c>
      <c r="M82" s="84" t="n">
        <v>5</v>
      </c>
      <c r="N82" s="70"/>
      <c r="O82" s="16" t="str">
        <f aca="false">IF(AND(LEN(TRIM(A82&amp;""))&gt;0,TRIM(A82&amp;"")&lt;&gt;"—",LEN(TRIM(B82&amp;""))&gt;0,TRIM(B82&amp;"")&lt;&gt;"—",LEN(TRIM(C82&amp;""))&gt;0,TRIM(C82&amp;"")&lt;&gt;"—",LEN(TRIM(D82&amp;""))&gt;0,TRIM(D82&amp;"")&lt;&gt;"—",LEN(TRIM(I82&amp;""))&gt;0,TRIM(I82&amp;"")&lt;&gt;"—",LEN(TRIM(K82&amp;""))&gt;0,TRIM(K82&amp;"")&lt;&gt;"—",LEN(TRIM(L82&amp;""))&gt;0,TRIM(L82&amp;"")&lt;&gt;"—"),"PASS","⚠ FAIL — "&amp;"a required cell is empty/placeholder or wrong type")</f>
        <v>PASS</v>
      </c>
    </row>
    <row r="83" customFormat="false" ht="28.5" hidden="false" customHeight="true" outlineLevel="0" collapsed="false">
      <c r="A83" s="11" t="s">
        <v>2070</v>
      </c>
      <c r="B83" s="11" t="str">
        <f aca="false">'Part names'!$B$61</f>
        <v>Motor Control Center</v>
      </c>
      <c r="C83" s="11" t="str">
        <f aca="false">'Part names'!$B$85</f>
        <v>SCADA / Plant Control System</v>
      </c>
      <c r="D83" s="11" t="s">
        <v>2029</v>
      </c>
      <c r="E83" s="11" t="s">
        <v>2030</v>
      </c>
      <c r="F83" s="92" t="n">
        <v>0.092</v>
      </c>
      <c r="G83" s="11" t="s">
        <v>2031</v>
      </c>
      <c r="H83" s="59" t="n">
        <v>3.26</v>
      </c>
      <c r="I83" s="93" t="str">
        <f aca="false">IF(ISNUMBER($M83),IF(AND(ISNUMBER($F83),$F83&lt;=$M83),"✓","✗"),IF(LEN(TRIM($N83&amp;""))=0,"n/a","✗"))</f>
        <v>✓</v>
      </c>
      <c r="J83" s="36" t="n">
        <v>21.78</v>
      </c>
      <c r="K83" s="68" t="s">
        <v>2071</v>
      </c>
      <c r="L83" s="69" t="str">
        <f aca="false">IF(AND(OR($I83="✓",$I83="n/a"),LEN(TRIM($N83&amp;""))=0),"PASS","FAIL — "&amp;IF(LEN(TRIM($N83&amp;""))&gt;0,TRIM($N83&amp;""),"velocity/ΔU outside its band or unverifiable"))</f>
        <v>PASS</v>
      </c>
      <c r="M83" s="84" t="n">
        <v>5</v>
      </c>
      <c r="N83" s="70"/>
      <c r="O83" s="16" t="str">
        <f aca="false">IF(AND(LEN(TRIM(A83&amp;""))&gt;0,TRIM(A83&amp;"")&lt;&gt;"—",LEN(TRIM(B83&amp;""))&gt;0,TRIM(B83&amp;"")&lt;&gt;"—",LEN(TRIM(C83&amp;""))&gt;0,TRIM(C83&amp;"")&lt;&gt;"—",LEN(TRIM(D83&amp;""))&gt;0,TRIM(D83&amp;"")&lt;&gt;"—",LEN(TRIM(I83&amp;""))&gt;0,TRIM(I83&amp;"")&lt;&gt;"—",LEN(TRIM(K83&amp;""))&gt;0,TRIM(K83&amp;"")&lt;&gt;"—",LEN(TRIM(L83&amp;""))&gt;0,TRIM(L83&amp;"")&lt;&gt;"—"),"PASS","⚠ FAIL — "&amp;"a required cell is empty/placeholder or wrong type")</f>
        <v>PASS</v>
      </c>
    </row>
    <row r="84" customFormat="false" ht="28.5" hidden="false" customHeight="true" outlineLevel="0" collapsed="false">
      <c r="A84" s="11" t="s">
        <v>2072</v>
      </c>
      <c r="B84" s="11" t="str">
        <f aca="false">'Part names'!$B$61</f>
        <v>Motor Control Center</v>
      </c>
      <c r="C84" s="11" t="str">
        <f aca="false">'Part names'!$B$23</f>
        <v>Digital Control Panel</v>
      </c>
      <c r="D84" s="11" t="s">
        <v>2029</v>
      </c>
      <c r="E84" s="11" t="s">
        <v>2064</v>
      </c>
      <c r="F84" s="92" t="n">
        <v>0.011</v>
      </c>
      <c r="G84" s="11" t="s">
        <v>2031</v>
      </c>
      <c r="H84" s="59" t="n">
        <v>3.54</v>
      </c>
      <c r="I84" s="93" t="str">
        <f aca="false">IF(ISNUMBER($M84),IF(AND(ISNUMBER($F84),$F84&lt;=$M84),"✓","✗"),IF(LEN(TRIM($N84&amp;""))=0,"n/a","✗"))</f>
        <v>✓</v>
      </c>
      <c r="J84" s="36" t="n">
        <v>22.62</v>
      </c>
      <c r="K84" s="68" t="s">
        <v>2073</v>
      </c>
      <c r="L84" s="69" t="str">
        <f aca="false">IF(AND(OR($I84="✓",$I84="n/a"),LEN(TRIM($N84&amp;""))=0),"PASS","FAIL — "&amp;IF(LEN(TRIM($N84&amp;""))&gt;0,TRIM($N84&amp;""),"velocity/ΔU outside its band or unverifiable"))</f>
        <v>PASS</v>
      </c>
      <c r="M84" s="84" t="n">
        <v>5</v>
      </c>
      <c r="N84" s="70"/>
      <c r="O84" s="16" t="str">
        <f aca="false">IF(AND(LEN(TRIM(A84&amp;""))&gt;0,TRIM(A84&amp;"")&lt;&gt;"—",LEN(TRIM(B84&amp;""))&gt;0,TRIM(B84&amp;"")&lt;&gt;"—",LEN(TRIM(C84&amp;""))&gt;0,TRIM(C84&amp;"")&lt;&gt;"—",LEN(TRIM(D84&amp;""))&gt;0,TRIM(D84&amp;"")&lt;&gt;"—",LEN(TRIM(I84&amp;""))&gt;0,TRIM(I84&amp;"")&lt;&gt;"—",LEN(TRIM(K84&amp;""))&gt;0,TRIM(K84&amp;"")&lt;&gt;"—",LEN(TRIM(L84&amp;""))&gt;0,TRIM(L84&amp;"")&lt;&gt;"—"),"PASS","⚠ FAIL — "&amp;"a required cell is empty/placeholder or wrong type")</f>
        <v>PASS</v>
      </c>
    </row>
    <row r="85" customFormat="false" ht="28.5" hidden="false" customHeight="true" outlineLevel="0" collapsed="false">
      <c r="A85" s="11" t="s">
        <v>2074</v>
      </c>
      <c r="B85" s="11" t="str">
        <f aca="false">'Part names'!$B$72</f>
        <v>Piping Network</v>
      </c>
      <c r="C85" s="11" t="str">
        <f aca="false">'Part names'!$B$23</f>
        <v>Digital Control Panel</v>
      </c>
      <c r="D85" s="11" t="s">
        <v>2029</v>
      </c>
      <c r="E85" s="11" t="s">
        <v>2064</v>
      </c>
      <c r="F85" s="92" t="n">
        <v>0.084</v>
      </c>
      <c r="G85" s="11" t="s">
        <v>2031</v>
      </c>
      <c r="H85" s="59" t="n">
        <v>26.99</v>
      </c>
      <c r="I85" s="93" t="str">
        <f aca="false">IF(ISNUMBER($M85),IF(AND(ISNUMBER($F85),$F85&lt;=$M85),"✓","✗"),IF(LEN(TRIM($N85&amp;""))=0,"n/a","✗"))</f>
        <v>✓</v>
      </c>
      <c r="J85" s="36" t="n">
        <v>92.97</v>
      </c>
      <c r="K85" s="68" t="s">
        <v>2075</v>
      </c>
      <c r="L85" s="69" t="str">
        <f aca="false">IF(AND(OR($I85="✓",$I85="n/a"),LEN(TRIM($N85&amp;""))=0),"PASS","FAIL — "&amp;IF(LEN(TRIM($N85&amp;""))&gt;0,TRIM($N85&amp;""),"velocity/ΔU outside its band or unverifiable"))</f>
        <v>PASS</v>
      </c>
      <c r="M85" s="84" t="n">
        <v>5</v>
      </c>
      <c r="N85" s="70"/>
      <c r="O85" s="16" t="str">
        <f aca="false">IF(AND(LEN(TRIM(A85&amp;""))&gt;0,TRIM(A85&amp;"")&lt;&gt;"—",LEN(TRIM(B85&amp;""))&gt;0,TRIM(B85&amp;"")&lt;&gt;"—",LEN(TRIM(C85&amp;""))&gt;0,TRIM(C85&amp;"")&lt;&gt;"—",LEN(TRIM(D85&amp;""))&gt;0,TRIM(D85&amp;"")&lt;&gt;"—",LEN(TRIM(I85&amp;""))&gt;0,TRIM(I85&amp;"")&lt;&gt;"—",LEN(TRIM(K85&amp;""))&gt;0,TRIM(K85&amp;"")&lt;&gt;"—",LEN(TRIM(L85&amp;""))&gt;0,TRIM(L85&amp;"")&lt;&gt;"—"),"PASS","⚠ FAIL — "&amp;"a required cell is empty/placeholder or wrong type")</f>
        <v>PASS</v>
      </c>
    </row>
    <row r="86" customFormat="false" ht="28.5" hidden="false" customHeight="true" outlineLevel="0" collapsed="false">
      <c r="A86" s="11" t="s">
        <v>2076</v>
      </c>
      <c r="B86" s="11" t="str">
        <f aca="false">'Part names'!$B$61</f>
        <v>Motor Control Center</v>
      </c>
      <c r="C86" s="11" t="str">
        <f aca="false">'Part names'!$B$28</f>
        <v>Electrical Control Cabinet</v>
      </c>
      <c r="D86" s="11" t="s">
        <v>2029</v>
      </c>
      <c r="E86" s="11" t="s">
        <v>2030</v>
      </c>
      <c r="F86" s="92" t="n">
        <v>0.718</v>
      </c>
      <c r="G86" s="11" t="s">
        <v>2031</v>
      </c>
      <c r="H86" s="59" t="n">
        <v>27.98</v>
      </c>
      <c r="I86" s="93" t="str">
        <f aca="false">IF(ISNUMBER($M86),IF(AND(ISNUMBER($F86),$F86&lt;=$M86),"✓","✗"),IF(LEN(TRIM($N86&amp;""))=0,"n/a","✗"))</f>
        <v>✓</v>
      </c>
      <c r="J86" s="36" t="n">
        <v>95.94</v>
      </c>
      <c r="K86" s="68" t="s">
        <v>2077</v>
      </c>
      <c r="L86" s="69" t="str">
        <f aca="false">IF(AND(OR($I86="✓",$I86="n/a"),LEN(TRIM($N86&amp;""))=0),"PASS","FAIL — "&amp;IF(LEN(TRIM($N86&amp;""))&gt;0,TRIM($N86&amp;""),"velocity/ΔU outside its band or unverifiable"))</f>
        <v>PASS</v>
      </c>
      <c r="M86" s="84" t="n">
        <v>5</v>
      </c>
      <c r="N86" s="70"/>
      <c r="O86" s="16" t="str">
        <f aca="false">IF(AND(LEN(TRIM(A86&amp;""))&gt;0,TRIM(A86&amp;"")&lt;&gt;"—",LEN(TRIM(B86&amp;""))&gt;0,TRIM(B86&amp;"")&lt;&gt;"—",LEN(TRIM(C86&amp;""))&gt;0,TRIM(C86&amp;"")&lt;&gt;"—",LEN(TRIM(D86&amp;""))&gt;0,TRIM(D86&amp;"")&lt;&gt;"—",LEN(TRIM(I86&amp;""))&gt;0,TRIM(I86&amp;"")&lt;&gt;"—",LEN(TRIM(K86&amp;""))&gt;0,TRIM(K86&amp;"")&lt;&gt;"—",LEN(TRIM(L86&amp;""))&gt;0,TRIM(L86&amp;"")&lt;&gt;"—"),"PASS","⚠ FAIL — "&amp;"a required cell is empty/placeholder or wrong type")</f>
        <v>PASS</v>
      </c>
    </row>
    <row r="87" customFormat="false" ht="28.5" hidden="false" customHeight="true" outlineLevel="0" collapsed="false">
      <c r="A87" s="11" t="s">
        <v>2078</v>
      </c>
      <c r="B87" s="11" t="str">
        <f aca="false">'Part names'!$B$28</f>
        <v>Electrical Control Cabinet</v>
      </c>
      <c r="C87" s="11" t="str">
        <f aca="false">'Part names'!$B$23</f>
        <v>Digital Control Panel</v>
      </c>
      <c r="D87" s="11" t="s">
        <v>2029</v>
      </c>
      <c r="E87" s="11" t="s">
        <v>2064</v>
      </c>
      <c r="F87" s="92" t="n">
        <v>0.087</v>
      </c>
      <c r="G87" s="11" t="s">
        <v>2031</v>
      </c>
      <c r="H87" s="59" t="n">
        <v>27.87</v>
      </c>
      <c r="I87" s="93" t="str">
        <f aca="false">IF(ISNUMBER($M87),IF(AND(ISNUMBER($F87),$F87&lt;=$M87),"✓","✗"),IF(LEN(TRIM($N87&amp;""))=0,"n/a","✗"))</f>
        <v>✓</v>
      </c>
      <c r="J87" s="36" t="n">
        <v>95.61</v>
      </c>
      <c r="K87" s="68" t="s">
        <v>2079</v>
      </c>
      <c r="L87" s="69" t="str">
        <f aca="false">IF(AND(OR($I87="✓",$I87="n/a"),LEN(TRIM($N87&amp;""))=0),"PASS","FAIL — "&amp;IF(LEN(TRIM($N87&amp;""))&gt;0,TRIM($N87&amp;""),"velocity/ΔU outside its band or unverifiable"))</f>
        <v>PASS</v>
      </c>
      <c r="M87" s="84" t="n">
        <v>5</v>
      </c>
      <c r="N87" s="70"/>
      <c r="O87" s="16" t="str">
        <f aca="false">IF(AND(LEN(TRIM(A87&amp;""))&gt;0,TRIM(A87&amp;"")&lt;&gt;"—",LEN(TRIM(B87&amp;""))&gt;0,TRIM(B87&amp;"")&lt;&gt;"—",LEN(TRIM(C87&amp;""))&gt;0,TRIM(C87&amp;"")&lt;&gt;"—",LEN(TRIM(D87&amp;""))&gt;0,TRIM(D87&amp;"")&lt;&gt;"—",LEN(TRIM(I87&amp;""))&gt;0,TRIM(I87&amp;"")&lt;&gt;"—",LEN(TRIM(K87&amp;""))&gt;0,TRIM(K87&amp;"")&lt;&gt;"—",LEN(TRIM(L87&amp;""))&gt;0,TRIM(L87&amp;"")&lt;&gt;"—"),"PASS","⚠ FAIL — "&amp;"a required cell is empty/placeholder or wrong type")</f>
        <v>PASS</v>
      </c>
    </row>
    <row r="88" customFormat="false" ht="28.5" hidden="false" customHeight="true" outlineLevel="0" collapsed="false">
      <c r="A88" s="94" t="s">
        <v>2080</v>
      </c>
      <c r="B88" s="94" t="str">
        <f aca="false">'Part names'!$B$61</f>
        <v>Motor Control Center</v>
      </c>
      <c r="C88" s="94" t="str">
        <f aca="false">'Part names'!$B$23</f>
        <v>Digital Control Panel</v>
      </c>
      <c r="D88" s="94" t="s">
        <v>2081</v>
      </c>
      <c r="E88" s="94" t="s">
        <v>480</v>
      </c>
      <c r="F88" s="94" t="s">
        <v>1988</v>
      </c>
      <c r="G88" s="94" t="s">
        <v>2082</v>
      </c>
      <c r="H88" s="95" t="n">
        <v>3.83</v>
      </c>
      <c r="I88" s="96" t="str">
        <f aca="false">IF(ISNUMBER($M88),IF(AND(ISNUMBER($F88),$F88&lt;=$M88),"✓","✗"),IF(LEN(TRIM($N88&amp;""))=0,"n/a","✗"))</f>
        <v>✗</v>
      </c>
      <c r="J88" s="97" t="n">
        <v>23.49</v>
      </c>
      <c r="K88" s="98" t="s">
        <v>2083</v>
      </c>
      <c r="L88" s="91" t="str">
        <f aca="false">IF(AND(OR($I88="✓",$I88="n/a"),LEN(TRIM($N88&amp;""))=0),"PASS","FAIL — "&amp;IF(LEN(TRIM($N88&amp;""))&gt;0,TRIM($N88&amp;""),"velocity/ΔU outside its band or unverifiable"))</f>
        <v>FAIL — no carried current on the run; ΔU% missing — volt-drop unverifiable (dash is never in-spec)</v>
      </c>
      <c r="M88" s="84"/>
      <c r="N88" s="70" t="s">
        <v>2084</v>
      </c>
      <c r="O88" s="16" t="str">
        <f aca="false">IF(AND(LEN(TRIM(A88&amp;""))&gt;0,TRIM(A88&amp;"")&lt;&gt;"—",LEN(TRIM(B88&amp;""))&gt;0,TRIM(B88&amp;"")&lt;&gt;"—",LEN(TRIM(C88&amp;""))&gt;0,TRIM(C88&amp;"")&lt;&gt;"—",LEN(TRIM(D88&amp;""))&gt;0,TRIM(D88&amp;"")&lt;&gt;"—",LEN(TRIM(I88&amp;""))&gt;0,TRIM(I88&amp;"")&lt;&gt;"—",LEN(TRIM(K88&amp;""))&gt;0,TRIM(K88&amp;"")&lt;&gt;"—",LEN(TRIM(L88&amp;""))&gt;0,TRIM(L88&amp;"")&lt;&gt;"—"),"PASS","⚠ FAIL — "&amp;"a required cell is empty/placeholder or wrong type")</f>
        <v>PASS</v>
      </c>
    </row>
    <row r="89" customFormat="false" ht="15" hidden="false" customHeight="false" outlineLevel="0" collapsed="false">
      <c r="B89" s="17" t="s">
        <v>2085</v>
      </c>
      <c r="J89" s="39" t="n">
        <f aca="false">SUM(J63:J88)</f>
        <v>1580.13</v>
      </c>
    </row>
    <row r="91" customFormat="false" ht="15" hidden="false" customHeight="false" outlineLevel="0" collapsed="false">
      <c r="B91" s="17" t="s">
        <v>2086</v>
      </c>
      <c r="I91" s="99" t="n">
        <f aca="false">SUMPRODUCT(--(LEFT($L$5:$L$90,4)="FAIL"))</f>
        <v>3</v>
      </c>
    </row>
  </sheetData>
  <mergeCells count="9">
    <mergeCell ref="A1:L1"/>
    <mergeCell ref="A2:L2"/>
    <mergeCell ref="A3:L3"/>
    <mergeCell ref="A4:L4"/>
    <mergeCell ref="A5:L5"/>
    <mergeCell ref="A7:L7"/>
    <mergeCell ref="A8:L8"/>
    <mergeCell ref="A60:L60"/>
    <mergeCell ref="A61:L61"/>
  </mergeCells>
  <conditionalFormatting sqref="L10:L57">
    <cfRule type="cellIs" priority="2" operator="equal" aboveAverage="0" equalAverage="0" bottom="0" percent="0" rank="0" text="" dxfId="1">
      <formula>"PASS"</formula>
    </cfRule>
  </conditionalFormatting>
  <conditionalFormatting sqref="L63:L88">
    <cfRule type="cellIs" priority="3" operator="equal" aboveAverage="0" equalAverage="0" bottom="0" percent="0" rank="0" text="" dxfId="1">
      <formula>"PASS"</formula>
    </cfRule>
  </conditionalFormatting>
  <conditionalFormatting sqref="I5:I91">
    <cfRule type="cellIs" priority="4" operator="equal" aboveAverage="0" equalAverage="0" bottom="0" percent="0" rank="0" text="" dxfId="0">
      <formula>"✗"</formula>
    </cfRule>
  </conditionalFormatting>
  <hyperlinks>
    <hyperlink ref="M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H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6"/>
    <col collapsed="false" customWidth="true" hidden="false" outlineLevel="0" max="2" min="2" style="0" width="32"/>
    <col collapsed="false" customWidth="true" hidden="false" outlineLevel="0" max="3" min="3" style="0" width="58"/>
    <col collapsed="false" customWidth="true" hidden="false" outlineLevel="0" max="4" min="4" style="0" width="24"/>
    <col collapsed="false" customWidth="true" hidden="false" outlineLevel="0" max="5" min="5" style="0" width="26"/>
    <col collapsed="false" customWidth="true" hidden="false" outlineLevel="0" max="6" min="6" style="0" width="20"/>
    <col collapsed="false" customWidth="true" hidden="false" outlineLevel="0" max="7" min="7" style="0" width="36"/>
    <col collapsed="false" customWidth="true" hidden="false" outlineLevel="0" max="8" min="8" style="0" width="13"/>
  </cols>
  <sheetData>
    <row r="1" customFormat="false" ht="25.5" hidden="false" customHeight="true" outlineLevel="0" collapsed="false">
      <c r="A1" s="1" t="s">
        <v>2087</v>
      </c>
      <c r="B1" s="1"/>
      <c r="C1" s="1"/>
      <c r="D1" s="1"/>
      <c r="E1" s="1"/>
      <c r="F1" s="1"/>
      <c r="G1" s="1"/>
      <c r="H1" s="24" t="s">
        <v>140</v>
      </c>
    </row>
    <row r="2" customFormat="false" ht="30" hidden="false" customHeight="true" outlineLevel="0" collapsed="false">
      <c r="A2" s="2" t="str">
        <f aca="false">"⬤ TAB QUALITY "&amp;IF(ISNUMBER('Quality &amp; Audit'!$B$37),IF('Quality &amp; Audit'!$B$37=INT('Quality &amp; Audit'!$B$37),TEXT('Quality &amp; Audit'!$B$37,"0"),TEXT('Quality &amp; Audit'!$B$37,"0.0")),"—")&amp;"/10 · "&amp;IF(ISNUMBER('Quality &amp; Audit'!$B$37),IF('Quality &amp; Audit'!$B$37&gt;=8,"PASS","FAIL"),"UNSCORED")&amp;" (target ≥8, live from the Quality &amp; Audit score cell)"&amp;" · arithmetic: min(8, 10 × 13/13 design-derived steps); content checks: design-derived step arithmetic — cell completeness+type contract 52/52 · score = min over checks of …"&amp;" · full audit: Quality &amp; Audit tab"</f>
        <v>⬤ TAB QUALITY 8/10 · PASS (target ≥8, live from the Quality &amp; Audit score cell) · arithmetic: min(8, 10 × 13/13 design-derived steps); content checks: design-derived step arithmetic — cell completeness+type contract 52/52 · score = min over checks of … · full audit: Quality &amp; Audit tab</v>
      </c>
      <c r="B2" s="2"/>
      <c r="C2" s="2"/>
      <c r="D2" s="2"/>
      <c r="E2" s="2"/>
      <c r="F2" s="2"/>
      <c r="G2" s="2"/>
    </row>
    <row r="3" customFormat="false" ht="54" hidden="false" customHeight="true" outlineLevel="0" collapsed="false">
      <c r="A3" s="3" t="s">
        <v>2088</v>
      </c>
      <c r="B3" s="3"/>
      <c r="C3" s="3"/>
      <c r="D3" s="3"/>
      <c r="E3" s="3"/>
      <c r="F3" s="3"/>
      <c r="G3" s="3"/>
    </row>
    <row r="4" customFormat="false" ht="30" hidden="false" customHeight="true" outlineLevel="0" collapsed="false">
      <c r="A4" s="100" t="s">
        <v>2089</v>
      </c>
      <c r="B4" s="100"/>
      <c r="C4" s="100"/>
      <c r="D4" s="100"/>
      <c r="E4" s="100"/>
      <c r="F4" s="100"/>
      <c r="G4" s="100"/>
    </row>
    <row r="6" customFormat="false" ht="15" hidden="false" customHeight="false" outlineLevel="0" collapsed="false">
      <c r="A6" s="9" t="s">
        <v>203</v>
      </c>
      <c r="B6" s="9" t="s">
        <v>2090</v>
      </c>
      <c r="C6" s="9" t="s">
        <v>2091</v>
      </c>
      <c r="D6" s="9" t="s">
        <v>2092</v>
      </c>
      <c r="E6" s="9" t="s">
        <v>2093</v>
      </c>
      <c r="F6" s="9" t="s">
        <v>2094</v>
      </c>
      <c r="G6" s="9" t="s">
        <v>2095</v>
      </c>
      <c r="H6" s="10" t="s">
        <v>20</v>
      </c>
    </row>
    <row r="7" customFormat="false" ht="28.5" hidden="false" customHeight="true" outlineLevel="0" collapsed="false">
      <c r="A7" s="11" t="n">
        <v>1</v>
      </c>
      <c r="B7" s="11" t="s">
        <v>2096</v>
      </c>
      <c r="C7" s="68" t="s">
        <v>2097</v>
      </c>
      <c r="D7" s="11" t="s">
        <v>2098</v>
      </c>
      <c r="E7" s="68" t="s">
        <v>2099</v>
      </c>
      <c r="F7" s="11" t="s">
        <v>2100</v>
      </c>
      <c r="G7" s="68" t="s">
        <v>2101</v>
      </c>
      <c r="H7" s="16" t="str">
        <f aca="false">IF(AND(LEN(TRIM(A7&amp;""))&gt;0,TRIM(A7&amp;"")&lt;&gt;"—",LEN(TRIM(B7&amp;""))&gt;0,TRIM(B7&amp;"")&lt;&gt;"—",LEN(TRIM(C7&amp;""))&gt;0,TRIM(C7&amp;"")&lt;&gt;"—",LEN(TRIM(F7&amp;""))&gt;0,TRIM(F7&amp;"")&lt;&gt;"—"),"PASS","⚠ FAIL — "&amp;"a required cell is empty/placeholder or wrong type")</f>
        <v>PASS</v>
      </c>
    </row>
    <row r="8" customFormat="false" ht="35.05" hidden="false" customHeight="false" outlineLevel="0" collapsed="false">
      <c r="A8" s="11" t="n">
        <v>2</v>
      </c>
      <c r="B8" s="11" t="s">
        <v>2102</v>
      </c>
      <c r="C8" s="68" t="s">
        <v>2103</v>
      </c>
      <c r="D8" s="11" t="s">
        <v>2104</v>
      </c>
      <c r="E8" s="68" t="s">
        <v>2105</v>
      </c>
      <c r="F8" s="11" t="s">
        <v>2106</v>
      </c>
      <c r="G8" s="68" t="s">
        <v>2107</v>
      </c>
      <c r="H8" s="16" t="str">
        <f aca="false">IF(AND(LEN(TRIM(A8&amp;""))&gt;0,TRIM(A8&amp;"")&lt;&gt;"—",LEN(TRIM(B8&amp;""))&gt;0,TRIM(B8&amp;"")&lt;&gt;"—",LEN(TRIM(C8&amp;""))&gt;0,TRIM(C8&amp;"")&lt;&gt;"—",LEN(TRIM(F8&amp;""))&gt;0,TRIM(F8&amp;"")&lt;&gt;"—"),"PASS","⚠ FAIL — "&amp;"a required cell is empty/placeholder or wrong type")</f>
        <v>PASS</v>
      </c>
    </row>
    <row r="9" customFormat="false" ht="87" hidden="false" customHeight="true" outlineLevel="0" collapsed="false">
      <c r="A9" s="11" t="n">
        <v>3</v>
      </c>
      <c r="B9" s="11" t="s">
        <v>2108</v>
      </c>
      <c r="C9" s="68" t="s">
        <v>2109</v>
      </c>
      <c r="D9" s="11" t="s">
        <v>2110</v>
      </c>
      <c r="E9" s="68" t="s">
        <v>2105</v>
      </c>
      <c r="F9" s="11" t="s">
        <v>2111</v>
      </c>
      <c r="G9" s="68" t="s">
        <v>2107</v>
      </c>
      <c r="H9" s="16" t="str">
        <f aca="false">IF(AND(LEN(TRIM(A9&amp;""))&gt;0,TRIM(A9&amp;"")&lt;&gt;"—",LEN(TRIM(B9&amp;""))&gt;0,TRIM(B9&amp;"")&lt;&gt;"—",LEN(TRIM(C9&amp;""))&gt;0,TRIM(C9&amp;"")&lt;&gt;"—",LEN(TRIM(F9&amp;""))&gt;0,TRIM(F9&amp;"")&lt;&gt;"—"),"PASS","⚠ FAIL — "&amp;"a required cell is empty/placeholder or wrong type")</f>
        <v>PASS</v>
      </c>
    </row>
    <row r="10" customFormat="false" ht="23.85" hidden="false" customHeight="false" outlineLevel="0" collapsed="false">
      <c r="A10" s="11" t="n">
        <v>4</v>
      </c>
      <c r="B10" s="11" t="s">
        <v>2112</v>
      </c>
      <c r="C10" s="68" t="s">
        <v>2113</v>
      </c>
      <c r="D10" s="11" t="s">
        <v>2114</v>
      </c>
      <c r="E10" s="68" t="s">
        <v>2115</v>
      </c>
      <c r="F10" s="11" t="s">
        <v>2116</v>
      </c>
      <c r="G10" s="68" t="s">
        <v>2117</v>
      </c>
      <c r="H10" s="16" t="str">
        <f aca="false">IF(AND(LEN(TRIM(A10&amp;""))&gt;0,TRIM(A10&amp;"")&lt;&gt;"—",LEN(TRIM(B10&amp;""))&gt;0,TRIM(B10&amp;"")&lt;&gt;"—",LEN(TRIM(C10&amp;""))&gt;0,TRIM(C10&amp;"")&lt;&gt;"—",LEN(TRIM(F10&amp;""))&gt;0,TRIM(F10&amp;"")&lt;&gt;"—"),"PASS","⚠ FAIL — "&amp;"a required cell is empty/placeholder or wrong type")</f>
        <v>PASS</v>
      </c>
    </row>
    <row r="11" customFormat="false" ht="23.85" hidden="false" customHeight="false" outlineLevel="0" collapsed="false">
      <c r="A11" s="11" t="n">
        <v>5</v>
      </c>
      <c r="B11" s="11" t="s">
        <v>2118</v>
      </c>
      <c r="C11" s="68" t="s">
        <v>2119</v>
      </c>
      <c r="D11" s="11" t="s">
        <v>2120</v>
      </c>
      <c r="E11" s="68" t="s">
        <v>2115</v>
      </c>
      <c r="F11" s="11" t="s">
        <v>2116</v>
      </c>
      <c r="G11" s="68" t="s">
        <v>2117</v>
      </c>
      <c r="H11" s="16" t="str">
        <f aca="false">IF(AND(LEN(TRIM(A11&amp;""))&gt;0,TRIM(A11&amp;"")&lt;&gt;"—",LEN(TRIM(B11&amp;""))&gt;0,TRIM(B11&amp;"")&lt;&gt;"—",LEN(TRIM(C11&amp;""))&gt;0,TRIM(C11&amp;"")&lt;&gt;"—",LEN(TRIM(F11&amp;""))&gt;0,TRIM(F11&amp;"")&lt;&gt;"—"),"PASS","⚠ FAIL — "&amp;"a required cell is empty/placeholder or wrong type")</f>
        <v>PASS</v>
      </c>
    </row>
    <row r="12" customFormat="false" ht="23.85" hidden="false" customHeight="false" outlineLevel="0" collapsed="false">
      <c r="A12" s="11" t="n">
        <v>6</v>
      </c>
      <c r="B12" s="11" t="s">
        <v>2121</v>
      </c>
      <c r="C12" s="68" t="s">
        <v>2122</v>
      </c>
      <c r="D12" s="11" t="s">
        <v>2123</v>
      </c>
      <c r="E12" s="68" t="s">
        <v>2115</v>
      </c>
      <c r="F12" s="11" t="s">
        <v>2116</v>
      </c>
      <c r="G12" s="68" t="s">
        <v>2117</v>
      </c>
      <c r="H12" s="16" t="str">
        <f aca="false">IF(AND(LEN(TRIM(A12&amp;""))&gt;0,TRIM(A12&amp;"")&lt;&gt;"—",LEN(TRIM(B12&amp;""))&gt;0,TRIM(B12&amp;"")&lt;&gt;"—",LEN(TRIM(C12&amp;""))&gt;0,TRIM(C12&amp;"")&lt;&gt;"—",LEN(TRIM(F12&amp;""))&gt;0,TRIM(F12&amp;"")&lt;&gt;"—"),"PASS","⚠ FAIL — "&amp;"a required cell is empty/placeholder or wrong type")</f>
        <v>PASS</v>
      </c>
    </row>
    <row r="13" customFormat="false" ht="57.75" hidden="false" customHeight="true" outlineLevel="0" collapsed="false">
      <c r="A13" s="11" t="n">
        <v>7</v>
      </c>
      <c r="B13" s="11" t="s">
        <v>2124</v>
      </c>
      <c r="C13" s="68" t="s">
        <v>2125</v>
      </c>
      <c r="D13" s="11" t="s">
        <v>2126</v>
      </c>
      <c r="E13" s="68" t="s">
        <v>2115</v>
      </c>
      <c r="F13" s="11" t="s">
        <v>2127</v>
      </c>
      <c r="G13" s="68" t="s">
        <v>2117</v>
      </c>
      <c r="H13" s="16" t="str">
        <f aca="false">IF(AND(LEN(TRIM(A13&amp;""))&gt;0,TRIM(A13&amp;"")&lt;&gt;"—",LEN(TRIM(B13&amp;""))&gt;0,TRIM(B13&amp;"")&lt;&gt;"—",LEN(TRIM(C13&amp;""))&gt;0,TRIM(C13&amp;"")&lt;&gt;"—",LEN(TRIM(F13&amp;""))&gt;0,TRIM(F13&amp;"")&lt;&gt;"—"),"PASS","⚠ FAIL — "&amp;"a required cell is empty/placeholder or wrong type")</f>
        <v>PASS</v>
      </c>
    </row>
    <row r="14" customFormat="false" ht="23.85" hidden="false" customHeight="false" outlineLevel="0" collapsed="false">
      <c r="A14" s="11" t="n">
        <v>8</v>
      </c>
      <c r="B14" s="11" t="s">
        <v>2128</v>
      </c>
      <c r="C14" s="68" t="s">
        <v>2129</v>
      </c>
      <c r="D14" s="11" t="s">
        <v>2130</v>
      </c>
      <c r="E14" s="68" t="s">
        <v>2115</v>
      </c>
      <c r="F14" s="11" t="s">
        <v>2116</v>
      </c>
      <c r="G14" s="68" t="s">
        <v>2117</v>
      </c>
      <c r="H14" s="16" t="str">
        <f aca="false">IF(AND(LEN(TRIM(A14&amp;""))&gt;0,TRIM(A14&amp;"")&lt;&gt;"—",LEN(TRIM(B14&amp;""))&gt;0,TRIM(B14&amp;"")&lt;&gt;"—",LEN(TRIM(C14&amp;""))&gt;0,TRIM(C14&amp;"")&lt;&gt;"—",LEN(TRIM(F14&amp;""))&gt;0,TRIM(F14&amp;"")&lt;&gt;"—"),"PASS","⚠ FAIL — "&amp;"a required cell is empty/placeholder or wrong type")</f>
        <v>PASS</v>
      </c>
    </row>
    <row r="15" customFormat="false" ht="23.85" hidden="false" customHeight="false" outlineLevel="0" collapsed="false">
      <c r="A15" s="11" t="n">
        <v>9</v>
      </c>
      <c r="B15" s="11" t="s">
        <v>2131</v>
      </c>
      <c r="C15" s="68" t="s">
        <v>2132</v>
      </c>
      <c r="D15" s="11" t="s">
        <v>2133</v>
      </c>
      <c r="E15" s="68" t="s">
        <v>2115</v>
      </c>
      <c r="F15" s="11" t="s">
        <v>2116</v>
      </c>
      <c r="G15" s="68" t="s">
        <v>2117</v>
      </c>
      <c r="H15" s="16" t="str">
        <f aca="false">IF(AND(LEN(TRIM(A15&amp;""))&gt;0,TRIM(A15&amp;"")&lt;&gt;"—",LEN(TRIM(B15&amp;""))&gt;0,TRIM(B15&amp;"")&lt;&gt;"—",LEN(TRIM(C15&amp;""))&gt;0,TRIM(C15&amp;"")&lt;&gt;"—",LEN(TRIM(F15&amp;""))&gt;0,TRIM(F15&amp;"")&lt;&gt;"—"),"PASS","⚠ FAIL — "&amp;"a required cell is empty/placeholder or wrong type")</f>
        <v>PASS</v>
      </c>
    </row>
    <row r="16" customFormat="false" ht="57.75" hidden="false" customHeight="true" outlineLevel="0" collapsed="false">
      <c r="A16" s="11" t="n">
        <v>10</v>
      </c>
      <c r="B16" s="11" t="s">
        <v>2134</v>
      </c>
      <c r="C16" s="68" t="s">
        <v>2135</v>
      </c>
      <c r="D16" s="11" t="s">
        <v>2136</v>
      </c>
      <c r="E16" s="68" t="s">
        <v>2137</v>
      </c>
      <c r="F16" s="11" t="s">
        <v>2138</v>
      </c>
      <c r="G16" s="68" t="s">
        <v>2139</v>
      </c>
      <c r="H16" s="16" t="str">
        <f aca="false">IF(AND(LEN(TRIM(A16&amp;""))&gt;0,TRIM(A16&amp;"")&lt;&gt;"—",LEN(TRIM(B16&amp;""))&gt;0,TRIM(B16&amp;"")&lt;&gt;"—",LEN(TRIM(C16&amp;""))&gt;0,TRIM(C16&amp;"")&lt;&gt;"—",LEN(TRIM(F16&amp;""))&gt;0,TRIM(F16&amp;"")&lt;&gt;"—"),"PASS","⚠ FAIL — "&amp;"a required cell is empty/placeholder or wrong type")</f>
        <v>PASS</v>
      </c>
    </row>
    <row r="17" customFormat="false" ht="43.5" hidden="false" customHeight="true" outlineLevel="0" collapsed="false">
      <c r="A17" s="11" t="n">
        <v>11</v>
      </c>
      <c r="B17" s="11" t="s">
        <v>2140</v>
      </c>
      <c r="C17" s="68" t="s">
        <v>2141</v>
      </c>
      <c r="D17" s="11" t="s">
        <v>2142</v>
      </c>
      <c r="E17" s="68" t="s">
        <v>2143</v>
      </c>
      <c r="F17" s="11" t="s">
        <v>2144</v>
      </c>
      <c r="G17" s="68" t="s">
        <v>2145</v>
      </c>
      <c r="H17" s="16" t="str">
        <f aca="false">IF(AND(LEN(TRIM(A17&amp;""))&gt;0,TRIM(A17&amp;"")&lt;&gt;"—",LEN(TRIM(B17&amp;""))&gt;0,TRIM(B17&amp;"")&lt;&gt;"—",LEN(TRIM(C17&amp;""))&gt;0,TRIM(C17&amp;"")&lt;&gt;"—",LEN(TRIM(F17&amp;""))&gt;0,TRIM(F17&amp;"")&lt;&gt;"—"),"PASS","⚠ FAIL — "&amp;"a required cell is empty/placeholder or wrong type")</f>
        <v>PASS</v>
      </c>
    </row>
    <row r="18" customFormat="false" ht="28.5" hidden="false" customHeight="true" outlineLevel="0" collapsed="false">
      <c r="A18" s="11" t="n">
        <v>12</v>
      </c>
      <c r="B18" s="11" t="s">
        <v>2146</v>
      </c>
      <c r="C18" s="68" t="s">
        <v>2147</v>
      </c>
      <c r="D18" s="11" t="s">
        <v>2148</v>
      </c>
      <c r="E18" s="68" t="s">
        <v>2149</v>
      </c>
      <c r="F18" s="11" t="s">
        <v>2150</v>
      </c>
      <c r="G18" s="68" t="s">
        <v>2151</v>
      </c>
      <c r="H18" s="16" t="str">
        <f aca="false">IF(AND(LEN(TRIM(A18&amp;""))&gt;0,TRIM(A18&amp;"")&lt;&gt;"—",LEN(TRIM(B18&amp;""))&gt;0,TRIM(B18&amp;"")&lt;&gt;"—",LEN(TRIM(C18&amp;""))&gt;0,TRIM(C18&amp;"")&lt;&gt;"—",LEN(TRIM(F18&amp;""))&gt;0,TRIM(F18&amp;"")&lt;&gt;"—"),"PASS","⚠ FAIL — "&amp;"a required cell is empty/placeholder or wrong type")</f>
        <v>PASS</v>
      </c>
    </row>
    <row r="19" customFormat="false" ht="28.5" hidden="false" customHeight="true" outlineLevel="0" collapsed="false">
      <c r="A19" s="11" t="n">
        <v>13</v>
      </c>
      <c r="B19" s="11" t="s">
        <v>2152</v>
      </c>
      <c r="C19" s="68" t="s">
        <v>2153</v>
      </c>
      <c r="D19" s="11" t="s">
        <v>2154</v>
      </c>
      <c r="E19" s="68" t="s">
        <v>480</v>
      </c>
      <c r="F19" s="11" t="s">
        <v>2111</v>
      </c>
      <c r="G19" s="68" t="s">
        <v>2155</v>
      </c>
      <c r="H19" s="16" t="str">
        <f aca="false">IF(AND(LEN(TRIM(A19&amp;""))&gt;0,TRIM(A19&amp;"")&lt;&gt;"—",LEN(TRIM(B19&amp;""))&gt;0,TRIM(B19&amp;"")&lt;&gt;"—",LEN(TRIM(C19&amp;""))&gt;0,TRIM(C19&amp;"")&lt;&gt;"—",LEN(TRIM(F19&amp;""))&gt;0,TRIM(F19&amp;"")&lt;&gt;"—"),"PASS","⚠ FAIL — "&amp;"a required cell is empty/placeholder or wrong type")</f>
        <v>PASS</v>
      </c>
    </row>
    <row r="21" customFormat="false" ht="15" hidden="false" customHeight="false" outlineLevel="0" collapsed="false">
      <c r="A21" s="8" t="s">
        <v>2156</v>
      </c>
      <c r="B21" s="8"/>
      <c r="C21" s="8"/>
      <c r="D21" s="8"/>
      <c r="E21" s="8"/>
      <c r="F21" s="8"/>
      <c r="G21" s="8"/>
    </row>
    <row r="22" customFormat="false" ht="15" hidden="false" customHeight="false" outlineLevel="0" collapsed="false">
      <c r="B22" s="17" t="s">
        <v>2157</v>
      </c>
      <c r="C22" s="101" t="s">
        <v>2158</v>
      </c>
      <c r="D22" s="101"/>
      <c r="E22" s="101"/>
      <c r="F22" s="101"/>
      <c r="G22" s="101"/>
    </row>
    <row r="23" customFormat="false" ht="15" hidden="false" customHeight="false" outlineLevel="0" collapsed="false">
      <c r="B23" s="17" t="s">
        <v>2159</v>
      </c>
      <c r="C23" s="101" t="s">
        <v>2160</v>
      </c>
      <c r="D23" s="101"/>
      <c r="E23" s="101"/>
      <c r="F23" s="101"/>
      <c r="G23" s="101"/>
    </row>
    <row r="24" customFormat="false" ht="15" hidden="false" customHeight="false" outlineLevel="0" collapsed="false">
      <c r="B24" s="17" t="s">
        <v>2161</v>
      </c>
      <c r="C24" s="101" t="s">
        <v>2162</v>
      </c>
      <c r="D24" s="101"/>
      <c r="E24" s="101"/>
      <c r="F24" s="101"/>
      <c r="G24" s="101"/>
    </row>
    <row r="25" customFormat="false" ht="15" hidden="false" customHeight="false" outlineLevel="0" collapsed="false">
      <c r="B25" s="17" t="s">
        <v>2163</v>
      </c>
      <c r="C25" s="101" t="s">
        <v>2164</v>
      </c>
      <c r="D25" s="101"/>
      <c r="E25" s="101"/>
      <c r="F25" s="101"/>
      <c r="G25" s="101"/>
    </row>
    <row r="26" customFormat="false" ht="15" hidden="false" customHeight="false" outlineLevel="0" collapsed="false">
      <c r="B26" s="17" t="s">
        <v>2165</v>
      </c>
      <c r="C26" s="101" t="s">
        <v>2166</v>
      </c>
      <c r="D26" s="101"/>
      <c r="E26" s="101"/>
      <c r="F26" s="101"/>
      <c r="G26" s="101"/>
    </row>
    <row r="27" customFormat="false" ht="15" hidden="false" customHeight="false" outlineLevel="0" collapsed="false">
      <c r="B27" s="17" t="s">
        <v>2167</v>
      </c>
      <c r="C27" s="101" t="s">
        <v>2168</v>
      </c>
      <c r="D27" s="101"/>
      <c r="E27" s="101"/>
      <c r="F27" s="101"/>
      <c r="G27" s="101"/>
    </row>
    <row r="28" customFormat="false" ht="15" hidden="false" customHeight="false" outlineLevel="0" collapsed="false">
      <c r="B28" s="17" t="s">
        <v>2169</v>
      </c>
      <c r="C28" s="101" t="s">
        <v>2170</v>
      </c>
      <c r="D28" s="101"/>
      <c r="E28" s="101"/>
      <c r="F28" s="101"/>
      <c r="G28" s="101"/>
    </row>
  </sheetData>
  <mergeCells count="12">
    <mergeCell ref="A1:G1"/>
    <mergeCell ref="A2:G2"/>
    <mergeCell ref="A3:G3"/>
    <mergeCell ref="A4:G4"/>
    <mergeCell ref="A21:G21"/>
    <mergeCell ref="C22:G22"/>
    <mergeCell ref="C23:G23"/>
    <mergeCell ref="C24:G24"/>
    <mergeCell ref="C25:G25"/>
    <mergeCell ref="C26:G26"/>
    <mergeCell ref="C27:G27"/>
    <mergeCell ref="C28:G28"/>
  </mergeCells>
  <hyperlinks>
    <hyperlink ref="H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55A11"/>
    <pageSetUpPr fitToPage="false"/>
  </sheetPr>
  <dimension ref="A1:O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6"/>
    <col collapsed="false" customWidth="true" hidden="false" outlineLevel="0" max="2" min="2" style="0" width="22"/>
    <col collapsed="false" customWidth="true" hidden="false" outlineLevel="0" max="3" min="3" style="0" width="38"/>
    <col collapsed="false" customWidth="true" hidden="false" outlineLevel="0" max="4" min="4" style="0" width="36"/>
    <col collapsed="false" customWidth="true" hidden="false" outlineLevel="0" max="6" min="5" style="0" width="6"/>
    <col collapsed="false" customWidth="true" hidden="false" outlineLevel="0" max="7" min="7" style="0" width="7"/>
    <col collapsed="false" customWidth="true" hidden="false" outlineLevel="0" max="8" min="8" style="0" width="10"/>
    <col collapsed="false" customWidth="true" hidden="false" outlineLevel="0" max="9" min="9" style="0" width="16"/>
    <col collapsed="false" customWidth="true" hidden="false" outlineLevel="0" max="10" min="10" style="0" width="46"/>
    <col collapsed="false" customWidth="true" hidden="false" outlineLevel="0" max="12" min="11" style="0" width="24"/>
    <col collapsed="false" customWidth="true" hidden="false" outlineLevel="0" max="13" min="13" style="0" width="36"/>
    <col collapsed="false" customWidth="true" hidden="false" outlineLevel="0" max="14" min="14" style="0" width="13"/>
  </cols>
  <sheetData>
    <row r="1" customFormat="false" ht="25.5" hidden="false" customHeight="true" outlineLevel="0" collapsed="false">
      <c r="A1" s="1" t="s">
        <v>116</v>
      </c>
      <c r="B1" s="1"/>
      <c r="C1" s="1"/>
      <c r="D1" s="1"/>
      <c r="E1" s="1"/>
      <c r="F1" s="1"/>
      <c r="G1" s="1"/>
      <c r="H1" s="1"/>
      <c r="I1" s="1"/>
      <c r="J1" s="1"/>
      <c r="K1" s="1"/>
      <c r="L1" s="1"/>
      <c r="M1" s="1"/>
      <c r="N1" s="24" t="s">
        <v>140</v>
      </c>
    </row>
    <row r="2" customFormat="false" ht="30" hidden="false" customHeight="true" outlineLevel="0" collapsed="false">
      <c r="A2" s="2" t="str">
        <f aca="false">"⬤ TAB QUALITY "&amp;IF(ISNUMBER('Quality &amp; Audit'!$B$36),IF('Quality &amp; Audit'!$B$36=INT('Quality &amp; Audit'!$B$36),TEXT('Quality &amp; Audit'!$B$36,"0"),TEXT('Quality &amp; Audit'!$B$36,"0.0")),"—")&amp;"/10 · "&amp;IF(ISNUMBER('Quality &amp; Audit'!$B$36),IF('Quality &amp; Audit'!$B$36&gt;=8,"PASS","FAIL"),"UNSCORED")&amp;" (target ≥8, live from the Quality &amp; Audit score cell)"&amp;" · column-contract arithmetic: 10 × 10/10 rows passing; content checks: risk-register column contract (per-row triage) — cell completeness+type contract 184/184 · score = m…"&amp;" · full audit: Quality &amp; Audit tab"</f>
        <v>⬤ TAB QUALITY 10/10 · PASS (target ≥8, live from the Quality &amp; Audit score cell) · column-contract arithmetic: 10 × 10/10 rows passing; content checks: risk-register column contract (per-row triage) — cell completeness+type contract 184/184 · score = m… · full audit: Quality &amp; Audit tab</v>
      </c>
      <c r="B2" s="2"/>
      <c r="C2" s="2"/>
      <c r="D2" s="2"/>
      <c r="E2" s="2"/>
      <c r="F2" s="2"/>
      <c r="G2" s="2"/>
      <c r="H2" s="2"/>
      <c r="I2" s="2"/>
      <c r="J2" s="2"/>
      <c r="K2" s="2"/>
      <c r="L2" s="2"/>
      <c r="M2" s="2"/>
    </row>
    <row r="3" customFormat="false" ht="66.75" hidden="false" customHeight="true" outlineLevel="0" collapsed="false">
      <c r="A3" s="3" t="s">
        <v>2171</v>
      </c>
      <c r="B3" s="3"/>
      <c r="C3" s="3"/>
      <c r="D3" s="3"/>
      <c r="E3" s="3"/>
      <c r="F3" s="3"/>
      <c r="G3" s="3"/>
      <c r="H3" s="3"/>
      <c r="I3" s="3"/>
      <c r="J3" s="3"/>
      <c r="K3" s="3"/>
      <c r="L3" s="3"/>
      <c r="M3" s="3"/>
    </row>
    <row r="4" customFormat="false" ht="15" hidden="false" customHeight="false" outlineLevel="0" collapsed="false">
      <c r="A4" s="8" t="s">
        <v>2172</v>
      </c>
      <c r="B4" s="8"/>
      <c r="C4" s="8"/>
      <c r="D4" s="8"/>
      <c r="E4" s="8"/>
      <c r="F4" s="8"/>
      <c r="G4" s="8"/>
      <c r="H4" s="8"/>
      <c r="I4" s="8"/>
      <c r="J4" s="8"/>
      <c r="K4" s="8"/>
    </row>
    <row r="5" customFormat="false" ht="42.5" hidden="false" customHeight="false" outlineLevel="0" collapsed="false">
      <c r="A5" s="9" t="s">
        <v>82</v>
      </c>
      <c r="B5" s="9" t="s">
        <v>182</v>
      </c>
      <c r="C5" s="9" t="s">
        <v>2173</v>
      </c>
      <c r="D5" s="9" t="s">
        <v>2174</v>
      </c>
      <c r="E5" s="9" t="s">
        <v>2175</v>
      </c>
      <c r="F5" s="9" t="s">
        <v>2176</v>
      </c>
      <c r="G5" s="9" t="s">
        <v>2177</v>
      </c>
      <c r="H5" s="9" t="s">
        <v>1908</v>
      </c>
      <c r="I5" s="9" t="s">
        <v>2178</v>
      </c>
      <c r="J5" s="9" t="s">
        <v>2179</v>
      </c>
      <c r="K5" s="9" t="s">
        <v>2180</v>
      </c>
      <c r="L5" s="9" t="s">
        <v>2181</v>
      </c>
      <c r="M5" s="9" t="s">
        <v>419</v>
      </c>
      <c r="N5" s="67" t="s">
        <v>2182</v>
      </c>
      <c r="O5" s="10" t="s">
        <v>20</v>
      </c>
    </row>
    <row r="6" customFormat="false" ht="87" hidden="false" customHeight="true" outlineLevel="0" collapsed="false">
      <c r="A6" s="11" t="n">
        <v>1</v>
      </c>
      <c r="B6" s="11" t="s">
        <v>2183</v>
      </c>
      <c r="C6" s="68" t="s">
        <v>2184</v>
      </c>
      <c r="D6" s="68" t="s">
        <v>2185</v>
      </c>
      <c r="E6" s="11" t="n">
        <v>3</v>
      </c>
      <c r="F6" s="11" t="n">
        <v>3</v>
      </c>
      <c r="G6" s="11" t="n">
        <f aca="false">E6*F6</f>
        <v>9</v>
      </c>
      <c r="H6" s="102" t="s">
        <v>2186</v>
      </c>
      <c r="I6" s="83" t="s">
        <v>2187</v>
      </c>
      <c r="J6" s="68" t="s">
        <v>2188</v>
      </c>
      <c r="K6" s="11" t="s">
        <v>2189</v>
      </c>
      <c r="L6" s="68" t="s">
        <v>2190</v>
      </c>
      <c r="M6" s="69" t="str">
        <f aca="false">IF(AND(ISNUMBER($E6),ISNUMBER($F6),ABS($G6-$E6*$F6)&lt;0.5,LEN(TRIM($J6&amp;""))&gt;0,TRIM($J6&amp;"")&lt;&gt;"—",LEN(TRIM($N6&amp;""))=0),"PASS","FAIL — "&amp;IF(LEN(TRIM($N6&amp;""))&gt;0,TRIM($N6&amp;""),"S/L not numeric, Score ≠ S×L, or mitigation missing"))</f>
        <v>PASS</v>
      </c>
      <c r="N6" s="70"/>
      <c r="O6" s="16" t="str">
        <f aca="false">IF(AND(LEN(TRIM(A6&amp;""))&gt;0,TRIM(A6&amp;"")&lt;&gt;"—",LEN(TRIM(B6&amp;""))&gt;0,TRIM(B6&amp;"")&lt;&gt;"—",LEN(TRIM(C6&amp;""))&gt;0,TRIM(C6&amp;"")&lt;&gt;"—",LEN(TRIM(D6&amp;""))&gt;0,TRIM(D6&amp;"")&lt;&gt;"—",LEN(TRIM(E6&amp;""))&gt;0,TRIM(E6&amp;"")&lt;&gt;"—",ISNUMBER(E6),LEN(TRIM(F6&amp;""))&gt;0,TRIM(F6&amp;"")&lt;&gt;"—",ISNUMBER(F6),LEN(TRIM(G6&amp;""))&gt;0,TRIM(G6&amp;"")&lt;&gt;"—",LEN(TRIM(H6&amp;""))&gt;0,TRIM(H6&amp;"")&lt;&gt;"—",LEN(TRIM(I6&amp;""))&gt;0,TRIM(I6&amp;"")&lt;&gt;"—",LEN(TRIM(J6&amp;""))&gt;0,TRIM(J6&amp;"")&lt;&gt;"—",LEN(TRIM(K6&amp;""))&gt;0,TRIM(K6&amp;"")&lt;&gt;"—",LEN(TRIM(M6&amp;""))&gt;0,TRIM(M6&amp;"")&lt;&gt;"—"),"PASS","⚠ FAIL — "&amp;"a required cell is empty/placeholder or wrong type")</f>
        <v>PASS</v>
      </c>
    </row>
    <row r="7" customFormat="false" ht="87" hidden="false" customHeight="true" outlineLevel="0" collapsed="false">
      <c r="A7" s="11" t="n">
        <v>2</v>
      </c>
      <c r="B7" s="11" t="s">
        <v>2183</v>
      </c>
      <c r="C7" s="68" t="s">
        <v>2191</v>
      </c>
      <c r="D7" s="68" t="s">
        <v>2192</v>
      </c>
      <c r="E7" s="11" t="n">
        <v>2</v>
      </c>
      <c r="F7" s="11" t="n">
        <v>3</v>
      </c>
      <c r="G7" s="11" t="n">
        <f aca="false">E7*F7</f>
        <v>6</v>
      </c>
      <c r="H7" s="103" t="s">
        <v>349</v>
      </c>
      <c r="I7" s="83" t="s">
        <v>2187</v>
      </c>
      <c r="J7" s="68" t="s">
        <v>2188</v>
      </c>
      <c r="K7" s="11" t="s">
        <v>2189</v>
      </c>
      <c r="L7" s="68" t="s">
        <v>2190</v>
      </c>
      <c r="M7" s="69" t="str">
        <f aca="false">IF(AND(ISNUMBER($E7),ISNUMBER($F7),ABS($G7-$E7*$F7)&lt;0.5,LEN(TRIM($J7&amp;""))&gt;0,TRIM($J7&amp;"")&lt;&gt;"—",LEN(TRIM($N7&amp;""))=0),"PASS","FAIL — "&amp;IF(LEN(TRIM($N7&amp;""))&gt;0,TRIM($N7&amp;""),"S/L not numeric, Score ≠ S×L, or mitigation missing"))</f>
        <v>PASS</v>
      </c>
      <c r="N7" s="70"/>
      <c r="O7" s="16" t="str">
        <f aca="false">IF(AND(LEN(TRIM(A7&amp;""))&gt;0,TRIM(A7&amp;"")&lt;&gt;"—",LEN(TRIM(B7&amp;""))&gt;0,TRIM(B7&amp;"")&lt;&gt;"—",LEN(TRIM(C7&amp;""))&gt;0,TRIM(C7&amp;"")&lt;&gt;"—",LEN(TRIM(D7&amp;""))&gt;0,TRIM(D7&amp;"")&lt;&gt;"—",LEN(TRIM(E7&amp;""))&gt;0,TRIM(E7&amp;"")&lt;&gt;"—",ISNUMBER(E7),LEN(TRIM(F7&amp;""))&gt;0,TRIM(F7&amp;"")&lt;&gt;"—",ISNUMBER(F7),LEN(TRIM(G7&amp;""))&gt;0,TRIM(G7&amp;"")&lt;&gt;"—",LEN(TRIM(H7&amp;""))&gt;0,TRIM(H7&amp;"")&lt;&gt;"—",LEN(TRIM(I7&amp;""))&gt;0,TRIM(I7&amp;"")&lt;&gt;"—",LEN(TRIM(J7&amp;""))&gt;0,TRIM(J7&amp;"")&lt;&gt;"—",LEN(TRIM(K7&amp;""))&gt;0,TRIM(K7&amp;"")&lt;&gt;"—",LEN(TRIM(M7&amp;""))&gt;0,TRIM(M7&amp;"")&lt;&gt;"—"),"PASS","⚠ FAIL — "&amp;"a required cell is empty/placeholder or wrong type")</f>
        <v>PASS</v>
      </c>
    </row>
    <row r="8" customFormat="false" ht="43.5" hidden="false" customHeight="true" outlineLevel="0" collapsed="false">
      <c r="A8" s="11" t="n">
        <v>3</v>
      </c>
      <c r="B8" s="11" t="s">
        <v>2193</v>
      </c>
      <c r="C8" s="68" t="s">
        <v>2194</v>
      </c>
      <c r="D8" s="68" t="s">
        <v>2195</v>
      </c>
      <c r="E8" s="11" t="n">
        <v>4</v>
      </c>
      <c r="F8" s="11" t="n">
        <v>2</v>
      </c>
      <c r="G8" s="11" t="n">
        <f aca="false">E8*F8</f>
        <v>8</v>
      </c>
      <c r="H8" s="102" t="s">
        <v>2186</v>
      </c>
      <c r="I8" s="83" t="s">
        <v>2187</v>
      </c>
      <c r="J8" s="68" t="s">
        <v>2196</v>
      </c>
      <c r="K8" s="11" t="s">
        <v>2189</v>
      </c>
      <c r="L8" s="68" t="s">
        <v>2197</v>
      </c>
      <c r="M8" s="69" t="str">
        <f aca="false">IF(AND(ISNUMBER($E8),ISNUMBER($F8),ABS($G8-$E8*$F8)&lt;0.5,LEN(TRIM($J8&amp;""))&gt;0,TRIM($J8&amp;"")&lt;&gt;"—",LEN(TRIM($N8&amp;""))=0),"PASS","FAIL — "&amp;IF(LEN(TRIM($N8&amp;""))&gt;0,TRIM($N8&amp;""),"S/L not numeric, Score ≠ S×L, or mitigation missing"))</f>
        <v>PASS</v>
      </c>
      <c r="N8" s="70"/>
      <c r="O8" s="16" t="str">
        <f aca="false">IF(AND(LEN(TRIM(A8&amp;""))&gt;0,TRIM(A8&amp;"")&lt;&gt;"—",LEN(TRIM(B8&amp;""))&gt;0,TRIM(B8&amp;"")&lt;&gt;"—",LEN(TRIM(C8&amp;""))&gt;0,TRIM(C8&amp;"")&lt;&gt;"—",LEN(TRIM(D8&amp;""))&gt;0,TRIM(D8&amp;"")&lt;&gt;"—",LEN(TRIM(E8&amp;""))&gt;0,TRIM(E8&amp;"")&lt;&gt;"—",ISNUMBER(E8),LEN(TRIM(F8&amp;""))&gt;0,TRIM(F8&amp;"")&lt;&gt;"—",ISNUMBER(F8),LEN(TRIM(G8&amp;""))&gt;0,TRIM(G8&amp;"")&lt;&gt;"—",LEN(TRIM(H8&amp;""))&gt;0,TRIM(H8&amp;"")&lt;&gt;"—",LEN(TRIM(I8&amp;""))&gt;0,TRIM(I8&amp;"")&lt;&gt;"—",LEN(TRIM(J8&amp;""))&gt;0,TRIM(J8&amp;"")&lt;&gt;"—",LEN(TRIM(K8&amp;""))&gt;0,TRIM(K8&amp;"")&lt;&gt;"—",LEN(TRIM(M8&amp;""))&gt;0,TRIM(M8&amp;"")&lt;&gt;"—"),"PASS","⚠ FAIL — "&amp;"a required cell is empty/placeholder or wrong type")</f>
        <v>PASS</v>
      </c>
    </row>
    <row r="9" customFormat="false" ht="43.5" hidden="false" customHeight="true" outlineLevel="0" collapsed="false">
      <c r="A9" s="11" t="n">
        <v>4</v>
      </c>
      <c r="B9" s="11" t="s">
        <v>2193</v>
      </c>
      <c r="C9" s="68" t="s">
        <v>2198</v>
      </c>
      <c r="D9" s="68" t="s">
        <v>2199</v>
      </c>
      <c r="E9" s="11" t="n">
        <v>4</v>
      </c>
      <c r="F9" s="11" t="n">
        <v>2</v>
      </c>
      <c r="G9" s="11" t="n">
        <f aca="false">E9*F9</f>
        <v>8</v>
      </c>
      <c r="H9" s="102" t="s">
        <v>2186</v>
      </c>
      <c r="I9" s="83" t="s">
        <v>2187</v>
      </c>
      <c r="J9" s="68" t="s">
        <v>2200</v>
      </c>
      <c r="K9" s="11" t="s">
        <v>2189</v>
      </c>
      <c r="L9" s="68" t="s">
        <v>2197</v>
      </c>
      <c r="M9" s="69" t="str">
        <f aca="false">IF(AND(ISNUMBER($E9),ISNUMBER($F9),ABS($G9-$E9*$F9)&lt;0.5,LEN(TRIM($J9&amp;""))&gt;0,TRIM($J9&amp;"")&lt;&gt;"—",LEN(TRIM($N9&amp;""))=0),"PASS","FAIL — "&amp;IF(LEN(TRIM($N9&amp;""))&gt;0,TRIM($N9&amp;""),"S/L not numeric, Score ≠ S×L, or mitigation missing"))</f>
        <v>PASS</v>
      </c>
      <c r="N9" s="70"/>
      <c r="O9" s="16" t="str">
        <f aca="false">IF(AND(LEN(TRIM(A9&amp;""))&gt;0,TRIM(A9&amp;"")&lt;&gt;"—",LEN(TRIM(B9&amp;""))&gt;0,TRIM(B9&amp;"")&lt;&gt;"—",LEN(TRIM(C9&amp;""))&gt;0,TRIM(C9&amp;"")&lt;&gt;"—",LEN(TRIM(D9&amp;""))&gt;0,TRIM(D9&amp;"")&lt;&gt;"—",LEN(TRIM(E9&amp;""))&gt;0,TRIM(E9&amp;"")&lt;&gt;"—",ISNUMBER(E9),LEN(TRIM(F9&amp;""))&gt;0,TRIM(F9&amp;"")&lt;&gt;"—",ISNUMBER(F9),LEN(TRIM(G9&amp;""))&gt;0,TRIM(G9&amp;"")&lt;&gt;"—",LEN(TRIM(H9&amp;""))&gt;0,TRIM(H9&amp;"")&lt;&gt;"—",LEN(TRIM(I9&amp;""))&gt;0,TRIM(I9&amp;"")&lt;&gt;"—",LEN(TRIM(J9&amp;""))&gt;0,TRIM(J9&amp;"")&lt;&gt;"—",LEN(TRIM(K9&amp;""))&gt;0,TRIM(K9&amp;"")&lt;&gt;"—",LEN(TRIM(M9&amp;""))&gt;0,TRIM(M9&amp;"")&lt;&gt;"—"),"PASS","⚠ FAIL — "&amp;"a required cell is empty/placeholder or wrong type")</f>
        <v>PASS</v>
      </c>
    </row>
    <row r="10" customFormat="false" ht="43.5" hidden="false" customHeight="true" outlineLevel="0" collapsed="false">
      <c r="A10" s="11" t="n">
        <v>5</v>
      </c>
      <c r="B10" s="11" t="s">
        <v>2193</v>
      </c>
      <c r="C10" s="68" t="s">
        <v>2201</v>
      </c>
      <c r="D10" s="68" t="s">
        <v>2202</v>
      </c>
      <c r="E10" s="11" t="n">
        <v>3</v>
      </c>
      <c r="F10" s="11" t="n">
        <v>3</v>
      </c>
      <c r="G10" s="11" t="n">
        <f aca="false">E10*F10</f>
        <v>9</v>
      </c>
      <c r="H10" s="102" t="s">
        <v>2186</v>
      </c>
      <c r="I10" s="83" t="s">
        <v>2187</v>
      </c>
      <c r="J10" s="68" t="s">
        <v>2203</v>
      </c>
      <c r="K10" s="11" t="s">
        <v>2189</v>
      </c>
      <c r="L10" s="68" t="s">
        <v>2197</v>
      </c>
      <c r="M10" s="69" t="str">
        <f aca="false">IF(AND(ISNUMBER($E10),ISNUMBER($F10),ABS($G10-$E10*$F10)&lt;0.5,LEN(TRIM($J10&amp;""))&gt;0,TRIM($J10&amp;"")&lt;&gt;"—",LEN(TRIM($N10&amp;""))=0),"PASS","FAIL — "&amp;IF(LEN(TRIM($N10&amp;""))&gt;0,TRIM($N10&amp;""),"S/L not numeric, Score ≠ S×L, or mitigation missing"))</f>
        <v>PASS</v>
      </c>
      <c r="N10" s="70"/>
      <c r="O10" s="16" t="str">
        <f aca="false">IF(AND(LEN(TRIM(A10&amp;""))&gt;0,TRIM(A10&amp;"")&lt;&gt;"—",LEN(TRIM(B10&amp;""))&gt;0,TRIM(B10&amp;"")&lt;&gt;"—",LEN(TRIM(C10&amp;""))&gt;0,TRIM(C10&amp;"")&lt;&gt;"—",LEN(TRIM(D10&amp;""))&gt;0,TRIM(D10&amp;"")&lt;&gt;"—",LEN(TRIM(E10&amp;""))&gt;0,TRIM(E10&amp;"")&lt;&gt;"—",ISNUMBER(E10),LEN(TRIM(F10&amp;""))&gt;0,TRIM(F10&amp;"")&lt;&gt;"—",ISNUMBER(F10),LEN(TRIM(G10&amp;""))&gt;0,TRIM(G10&amp;"")&lt;&gt;"—",LEN(TRIM(H10&amp;""))&gt;0,TRIM(H10&amp;"")&lt;&gt;"—",LEN(TRIM(I10&amp;""))&gt;0,TRIM(I10&amp;"")&lt;&gt;"—",LEN(TRIM(J10&amp;""))&gt;0,TRIM(J10&amp;"")&lt;&gt;"—",LEN(TRIM(K10&amp;""))&gt;0,TRIM(K10&amp;"")&lt;&gt;"—",LEN(TRIM(M10&amp;""))&gt;0,TRIM(M10&amp;"")&lt;&gt;"—"),"PASS","⚠ FAIL — "&amp;"a required cell is empty/placeholder or wrong type")</f>
        <v>PASS</v>
      </c>
    </row>
    <row r="11" customFormat="false" ht="43.5" hidden="false" customHeight="true" outlineLevel="0" collapsed="false">
      <c r="A11" s="11" t="n">
        <v>6</v>
      </c>
      <c r="B11" s="11" t="s">
        <v>2193</v>
      </c>
      <c r="C11" s="68" t="s">
        <v>2204</v>
      </c>
      <c r="D11" s="68" t="s">
        <v>2205</v>
      </c>
      <c r="E11" s="11" t="n">
        <v>4</v>
      </c>
      <c r="F11" s="11" t="n">
        <v>2</v>
      </c>
      <c r="G11" s="11" t="n">
        <f aca="false">E11*F11</f>
        <v>8</v>
      </c>
      <c r="H11" s="102" t="s">
        <v>2186</v>
      </c>
      <c r="I11" s="83" t="s">
        <v>2187</v>
      </c>
      <c r="J11" s="68" t="s">
        <v>2206</v>
      </c>
      <c r="K11" s="11" t="s">
        <v>2189</v>
      </c>
      <c r="L11" s="68" t="s">
        <v>2197</v>
      </c>
      <c r="M11" s="69" t="str">
        <f aca="false">IF(AND(ISNUMBER($E11),ISNUMBER($F11),ABS($G11-$E11*$F11)&lt;0.5,LEN(TRIM($J11&amp;""))&gt;0,TRIM($J11&amp;"")&lt;&gt;"—",LEN(TRIM($N11&amp;""))=0),"PASS","FAIL — "&amp;IF(LEN(TRIM($N11&amp;""))&gt;0,TRIM($N11&amp;""),"S/L not numeric, Score ≠ S×L, or mitigation missing"))</f>
        <v>PASS</v>
      </c>
      <c r="N11" s="70"/>
      <c r="O11" s="16" t="str">
        <f aca="false">IF(AND(LEN(TRIM(A11&amp;""))&gt;0,TRIM(A11&amp;"")&lt;&gt;"—",LEN(TRIM(B11&amp;""))&gt;0,TRIM(B11&amp;"")&lt;&gt;"—",LEN(TRIM(C11&amp;""))&gt;0,TRIM(C11&amp;"")&lt;&gt;"—",LEN(TRIM(D11&amp;""))&gt;0,TRIM(D11&amp;"")&lt;&gt;"—",LEN(TRIM(E11&amp;""))&gt;0,TRIM(E11&amp;"")&lt;&gt;"—",ISNUMBER(E11),LEN(TRIM(F11&amp;""))&gt;0,TRIM(F11&amp;"")&lt;&gt;"—",ISNUMBER(F11),LEN(TRIM(G11&amp;""))&gt;0,TRIM(G11&amp;"")&lt;&gt;"—",LEN(TRIM(H11&amp;""))&gt;0,TRIM(H11&amp;"")&lt;&gt;"—",LEN(TRIM(I11&amp;""))&gt;0,TRIM(I11&amp;"")&lt;&gt;"—",LEN(TRIM(J11&amp;""))&gt;0,TRIM(J11&amp;"")&lt;&gt;"—",LEN(TRIM(K11&amp;""))&gt;0,TRIM(K11&amp;"")&lt;&gt;"—",LEN(TRIM(M11&amp;""))&gt;0,TRIM(M11&amp;"")&lt;&gt;"—"),"PASS","⚠ FAIL — "&amp;"a required cell is empty/placeholder or wrong type")</f>
        <v>PASS</v>
      </c>
    </row>
    <row r="12" customFormat="false" ht="43.5" hidden="false" customHeight="true" outlineLevel="0" collapsed="false">
      <c r="A12" s="11" t="n">
        <v>7</v>
      </c>
      <c r="B12" s="11" t="s">
        <v>2193</v>
      </c>
      <c r="C12" s="68" t="s">
        <v>2207</v>
      </c>
      <c r="D12" s="68" t="s">
        <v>2208</v>
      </c>
      <c r="E12" s="11" t="n">
        <v>4</v>
      </c>
      <c r="F12" s="11" t="n">
        <v>2</v>
      </c>
      <c r="G12" s="11" t="n">
        <f aca="false">E12*F12</f>
        <v>8</v>
      </c>
      <c r="H12" s="102" t="s">
        <v>2186</v>
      </c>
      <c r="I12" s="83" t="s">
        <v>2187</v>
      </c>
      <c r="J12" s="68" t="s">
        <v>2209</v>
      </c>
      <c r="K12" s="11" t="s">
        <v>2189</v>
      </c>
      <c r="L12" s="68" t="s">
        <v>2197</v>
      </c>
      <c r="M12" s="69" t="str">
        <f aca="false">IF(AND(ISNUMBER($E12),ISNUMBER($F12),ABS($G12-$E12*$F12)&lt;0.5,LEN(TRIM($J12&amp;""))&gt;0,TRIM($J12&amp;"")&lt;&gt;"—",LEN(TRIM($N12&amp;""))=0),"PASS","FAIL — "&amp;IF(LEN(TRIM($N12&amp;""))&gt;0,TRIM($N12&amp;""),"S/L not numeric, Score ≠ S×L, or mitigation missing"))</f>
        <v>PASS</v>
      </c>
      <c r="N12" s="70"/>
      <c r="O12" s="16" t="str">
        <f aca="false">IF(AND(LEN(TRIM(A12&amp;""))&gt;0,TRIM(A12&amp;"")&lt;&gt;"—",LEN(TRIM(B12&amp;""))&gt;0,TRIM(B12&amp;"")&lt;&gt;"—",LEN(TRIM(C12&amp;""))&gt;0,TRIM(C12&amp;"")&lt;&gt;"—",LEN(TRIM(D12&amp;""))&gt;0,TRIM(D12&amp;"")&lt;&gt;"—",LEN(TRIM(E12&amp;""))&gt;0,TRIM(E12&amp;"")&lt;&gt;"—",ISNUMBER(E12),LEN(TRIM(F12&amp;""))&gt;0,TRIM(F12&amp;"")&lt;&gt;"—",ISNUMBER(F12),LEN(TRIM(G12&amp;""))&gt;0,TRIM(G12&amp;"")&lt;&gt;"—",LEN(TRIM(H12&amp;""))&gt;0,TRIM(H12&amp;"")&lt;&gt;"—",LEN(TRIM(I12&amp;""))&gt;0,TRIM(I12&amp;"")&lt;&gt;"—",LEN(TRIM(J12&amp;""))&gt;0,TRIM(J12&amp;"")&lt;&gt;"—",LEN(TRIM(K12&amp;""))&gt;0,TRIM(K12&amp;"")&lt;&gt;"—",LEN(TRIM(M12&amp;""))&gt;0,TRIM(M12&amp;"")&lt;&gt;"—"),"PASS","⚠ FAIL — "&amp;"a required cell is empty/placeholder or wrong type")</f>
        <v>PASS</v>
      </c>
    </row>
    <row r="13" customFormat="false" ht="28.5" hidden="false" customHeight="true" outlineLevel="0" collapsed="false">
      <c r="A13" s="11" t="n">
        <v>8</v>
      </c>
      <c r="B13" s="11" t="s">
        <v>2193</v>
      </c>
      <c r="C13" s="68" t="s">
        <v>2210</v>
      </c>
      <c r="D13" s="68" t="s">
        <v>2211</v>
      </c>
      <c r="E13" s="11" t="n">
        <v>3</v>
      </c>
      <c r="F13" s="11" t="n">
        <v>3</v>
      </c>
      <c r="G13" s="11" t="n">
        <f aca="false">E13*F13</f>
        <v>9</v>
      </c>
      <c r="H13" s="102" t="s">
        <v>2186</v>
      </c>
      <c r="I13" s="83" t="s">
        <v>2187</v>
      </c>
      <c r="J13" s="68" t="s">
        <v>2212</v>
      </c>
      <c r="K13" s="11" t="s">
        <v>2189</v>
      </c>
      <c r="L13" s="68" t="s">
        <v>2197</v>
      </c>
      <c r="M13" s="69" t="str">
        <f aca="false">IF(AND(ISNUMBER($E13),ISNUMBER($F13),ABS($G13-$E13*$F13)&lt;0.5,LEN(TRIM($J13&amp;""))&gt;0,TRIM($J13&amp;"")&lt;&gt;"—",LEN(TRIM($N13&amp;""))=0),"PASS","FAIL — "&amp;IF(LEN(TRIM($N13&amp;""))&gt;0,TRIM($N13&amp;""),"S/L not numeric, Score ≠ S×L, or mitigation missing"))</f>
        <v>PASS</v>
      </c>
      <c r="N13" s="70"/>
      <c r="O13" s="16" t="str">
        <f aca="false">IF(AND(LEN(TRIM(A13&amp;""))&gt;0,TRIM(A13&amp;"")&lt;&gt;"—",LEN(TRIM(B13&amp;""))&gt;0,TRIM(B13&amp;"")&lt;&gt;"—",LEN(TRIM(C13&amp;""))&gt;0,TRIM(C13&amp;"")&lt;&gt;"—",LEN(TRIM(D13&amp;""))&gt;0,TRIM(D13&amp;"")&lt;&gt;"—",LEN(TRIM(E13&amp;""))&gt;0,TRIM(E13&amp;"")&lt;&gt;"—",ISNUMBER(E13),LEN(TRIM(F13&amp;""))&gt;0,TRIM(F13&amp;"")&lt;&gt;"—",ISNUMBER(F13),LEN(TRIM(G13&amp;""))&gt;0,TRIM(G13&amp;"")&lt;&gt;"—",LEN(TRIM(H13&amp;""))&gt;0,TRIM(H13&amp;"")&lt;&gt;"—",LEN(TRIM(I13&amp;""))&gt;0,TRIM(I13&amp;"")&lt;&gt;"—",LEN(TRIM(J13&amp;""))&gt;0,TRIM(J13&amp;"")&lt;&gt;"—",LEN(TRIM(K13&amp;""))&gt;0,TRIM(K13&amp;"")&lt;&gt;"—",LEN(TRIM(M13&amp;""))&gt;0,TRIM(M13&amp;"")&lt;&gt;"—"),"PASS","⚠ FAIL — "&amp;"a required cell is empty/placeholder or wrong type")</f>
        <v>PASS</v>
      </c>
    </row>
    <row r="14" customFormat="false" ht="28.5" hidden="false" customHeight="true" outlineLevel="0" collapsed="false">
      <c r="A14" s="11" t="n">
        <v>9</v>
      </c>
      <c r="B14" s="11" t="s">
        <v>2193</v>
      </c>
      <c r="C14" s="68" t="s">
        <v>2213</v>
      </c>
      <c r="D14" s="68" t="s">
        <v>2214</v>
      </c>
      <c r="E14" s="11" t="n">
        <v>3</v>
      </c>
      <c r="F14" s="11" t="n">
        <v>2</v>
      </c>
      <c r="G14" s="11" t="n">
        <f aca="false">E14*F14</f>
        <v>6</v>
      </c>
      <c r="H14" s="103" t="s">
        <v>349</v>
      </c>
      <c r="I14" s="83" t="s">
        <v>2187</v>
      </c>
      <c r="J14" s="68" t="s">
        <v>2215</v>
      </c>
      <c r="K14" s="11" t="s">
        <v>2189</v>
      </c>
      <c r="L14" s="68" t="s">
        <v>2197</v>
      </c>
      <c r="M14" s="69" t="str">
        <f aca="false">IF(AND(ISNUMBER($E14),ISNUMBER($F14),ABS($G14-$E14*$F14)&lt;0.5,LEN(TRIM($J14&amp;""))&gt;0,TRIM($J14&amp;"")&lt;&gt;"—",LEN(TRIM($N14&amp;""))=0),"PASS","FAIL — "&amp;IF(LEN(TRIM($N14&amp;""))&gt;0,TRIM($N14&amp;""),"S/L not numeric, Score ≠ S×L, or mitigation missing"))</f>
        <v>PASS</v>
      </c>
      <c r="N14" s="70"/>
      <c r="O14" s="16" t="str">
        <f aca="false">IF(AND(LEN(TRIM(A14&amp;""))&gt;0,TRIM(A14&amp;"")&lt;&gt;"—",LEN(TRIM(B14&amp;""))&gt;0,TRIM(B14&amp;"")&lt;&gt;"—",LEN(TRIM(C14&amp;""))&gt;0,TRIM(C14&amp;"")&lt;&gt;"—",LEN(TRIM(D14&amp;""))&gt;0,TRIM(D14&amp;"")&lt;&gt;"—",LEN(TRIM(E14&amp;""))&gt;0,TRIM(E14&amp;"")&lt;&gt;"—",ISNUMBER(E14),LEN(TRIM(F14&amp;""))&gt;0,TRIM(F14&amp;"")&lt;&gt;"—",ISNUMBER(F14),LEN(TRIM(G14&amp;""))&gt;0,TRIM(G14&amp;"")&lt;&gt;"—",LEN(TRIM(H14&amp;""))&gt;0,TRIM(H14&amp;"")&lt;&gt;"—",LEN(TRIM(I14&amp;""))&gt;0,TRIM(I14&amp;"")&lt;&gt;"—",LEN(TRIM(J14&amp;""))&gt;0,TRIM(J14&amp;"")&lt;&gt;"—",LEN(TRIM(K14&amp;""))&gt;0,TRIM(K14&amp;"")&lt;&gt;"—",LEN(TRIM(M14&amp;""))&gt;0,TRIM(M14&amp;"")&lt;&gt;"—"),"PASS","⚠ FAIL — "&amp;"a required cell is empty/placeholder or wrong type")</f>
        <v>PASS</v>
      </c>
    </row>
    <row r="15" customFormat="false" ht="28.5" hidden="false" customHeight="true" outlineLevel="0" collapsed="false">
      <c r="A15" s="11" t="n">
        <v>10</v>
      </c>
      <c r="B15" s="11" t="s">
        <v>2193</v>
      </c>
      <c r="C15" s="68" t="s">
        <v>2216</v>
      </c>
      <c r="D15" s="68" t="s">
        <v>2217</v>
      </c>
      <c r="E15" s="11" t="n">
        <v>2</v>
      </c>
      <c r="F15" s="11" t="n">
        <v>2</v>
      </c>
      <c r="G15" s="11" t="n">
        <f aca="false">E15*F15</f>
        <v>4</v>
      </c>
      <c r="H15" s="103" t="s">
        <v>349</v>
      </c>
      <c r="I15" s="83" t="s">
        <v>2187</v>
      </c>
      <c r="J15" s="68" t="s">
        <v>2218</v>
      </c>
      <c r="K15" s="11" t="s">
        <v>2189</v>
      </c>
      <c r="L15" s="68" t="s">
        <v>2197</v>
      </c>
      <c r="M15" s="69" t="str">
        <f aca="false">IF(AND(ISNUMBER($E15),ISNUMBER($F15),ABS($G15-$E15*$F15)&lt;0.5,LEN(TRIM($J15&amp;""))&gt;0,TRIM($J15&amp;"")&lt;&gt;"—",LEN(TRIM($N15&amp;""))=0),"PASS","FAIL — "&amp;IF(LEN(TRIM($N15&amp;""))&gt;0,TRIM($N15&amp;""),"S/L not numeric, Score ≠ S×L, or mitigation missing"))</f>
        <v>PASS</v>
      </c>
      <c r="N15" s="70"/>
      <c r="O15" s="16" t="str">
        <f aca="false">IF(AND(LEN(TRIM(A15&amp;""))&gt;0,TRIM(A15&amp;"")&lt;&gt;"—",LEN(TRIM(B15&amp;""))&gt;0,TRIM(B15&amp;"")&lt;&gt;"—",LEN(TRIM(C15&amp;""))&gt;0,TRIM(C15&amp;"")&lt;&gt;"—",LEN(TRIM(D15&amp;""))&gt;0,TRIM(D15&amp;"")&lt;&gt;"—",LEN(TRIM(E15&amp;""))&gt;0,TRIM(E15&amp;"")&lt;&gt;"—",ISNUMBER(E15),LEN(TRIM(F15&amp;""))&gt;0,TRIM(F15&amp;"")&lt;&gt;"—",ISNUMBER(F15),LEN(TRIM(G15&amp;""))&gt;0,TRIM(G15&amp;"")&lt;&gt;"—",LEN(TRIM(H15&amp;""))&gt;0,TRIM(H15&amp;"")&lt;&gt;"—",LEN(TRIM(I15&amp;""))&gt;0,TRIM(I15&amp;"")&lt;&gt;"—",LEN(TRIM(J15&amp;""))&gt;0,TRIM(J15&amp;"")&lt;&gt;"—",LEN(TRIM(K15&amp;""))&gt;0,TRIM(K15&amp;"")&lt;&gt;"—",LEN(TRIM(M15&amp;""))&gt;0,TRIM(M15&amp;"")&lt;&gt;"—"),"PASS","⚠ FAIL — "&amp;"a required cell is empty/placeholder or wrong type")</f>
        <v>PASS</v>
      </c>
    </row>
    <row r="17" customFormat="false" ht="15" hidden="false" customHeight="false" outlineLevel="0" collapsed="false">
      <c r="A17" s="8" t="s">
        <v>2219</v>
      </c>
      <c r="B17" s="8"/>
      <c r="C17" s="8"/>
      <c r="D17" s="8"/>
      <c r="E17" s="8"/>
      <c r="F17" s="8"/>
      <c r="G17" s="8"/>
      <c r="H17" s="8"/>
      <c r="I17" s="8"/>
      <c r="J17" s="8"/>
      <c r="K17" s="8"/>
    </row>
    <row r="18" customFormat="false" ht="15" hidden="false" customHeight="false" outlineLevel="0" collapsed="false">
      <c r="A18" s="8" t="s">
        <v>2220</v>
      </c>
      <c r="B18" s="8"/>
      <c r="C18" s="8"/>
      <c r="D18" s="8"/>
    </row>
    <row r="19" customFormat="false" ht="15" hidden="false" customHeight="false" outlineLevel="0" collapsed="false">
      <c r="A19" s="8" t="s">
        <v>2221</v>
      </c>
      <c r="B19" s="8"/>
      <c r="C19" s="8"/>
      <c r="D19" s="8"/>
    </row>
    <row r="20" customFormat="false" ht="30" hidden="false" customHeight="true" outlineLevel="0" collapsed="false">
      <c r="A20" s="104" t="s">
        <v>2222</v>
      </c>
      <c r="B20" s="46" t="s">
        <v>2223</v>
      </c>
      <c r="C20" s="46"/>
      <c r="D20" s="46"/>
    </row>
    <row r="22" customFormat="false" ht="15" hidden="false" customHeight="false" outlineLevel="0" collapsed="false">
      <c r="A22" s="8" t="s">
        <v>2224</v>
      </c>
      <c r="B22" s="8"/>
      <c r="C22" s="8"/>
      <c r="D22" s="8"/>
    </row>
    <row r="23" customFormat="false" ht="15" hidden="false" customHeight="false" outlineLevel="0" collapsed="false">
      <c r="A23" s="9" t="s">
        <v>82</v>
      </c>
      <c r="B23" s="9" t="s">
        <v>2225</v>
      </c>
      <c r="C23" s="9" t="s">
        <v>2226</v>
      </c>
      <c r="D23" s="9" t="s">
        <v>2227</v>
      </c>
      <c r="E23" s="10" t="s">
        <v>20</v>
      </c>
    </row>
    <row r="24" customFormat="false" ht="23.85" hidden="false" customHeight="false" outlineLevel="0" collapsed="false">
      <c r="A24" s="11" t="n">
        <v>1</v>
      </c>
      <c r="B24" s="11" t="s">
        <v>2228</v>
      </c>
      <c r="C24" s="68" t="s">
        <v>2229</v>
      </c>
      <c r="D24" s="11" t="s">
        <v>2230</v>
      </c>
      <c r="E24" s="16" t="str">
        <f aca="false">IF(AND(LEN(TRIM(A24&amp;""))&gt;0,TRIM(A24&amp;"")&lt;&gt;"—",LEN(TRIM(B24&amp;""))&gt;0,TRIM(B24&amp;"")&lt;&gt;"—",LEN(TRIM(C24&amp;""))&gt;0,TRIM(C24&amp;"")&lt;&gt;"—",LEN(TRIM(D24&amp;""))&gt;0,TRIM(D24&amp;"")&lt;&gt;"—"),"PASS","⚠ FAIL — "&amp;"a required cell is empty/placeholder or wrong type")</f>
        <v>PASS</v>
      </c>
    </row>
    <row r="25" customFormat="false" ht="15" hidden="false" customHeight="false" outlineLevel="0" collapsed="false">
      <c r="A25" s="11" t="n">
        <v>2</v>
      </c>
      <c r="B25" s="11" t="s">
        <v>2231</v>
      </c>
      <c r="C25" s="68" t="s">
        <v>2232</v>
      </c>
      <c r="D25" s="11" t="s">
        <v>2230</v>
      </c>
      <c r="E25" s="16" t="str">
        <f aca="false">IF(AND(LEN(TRIM(A25&amp;""))&gt;0,TRIM(A25&amp;"")&lt;&gt;"—",LEN(TRIM(B25&amp;""))&gt;0,TRIM(B25&amp;"")&lt;&gt;"—",LEN(TRIM(C25&amp;""))&gt;0,TRIM(C25&amp;"")&lt;&gt;"—",LEN(TRIM(D25&amp;""))&gt;0,TRIM(D25&amp;"")&lt;&gt;"—"),"PASS","⚠ FAIL — "&amp;"a required cell is empty/placeholder or wrong type")</f>
        <v>PASS</v>
      </c>
    </row>
    <row r="26" customFormat="false" ht="15" hidden="false" customHeight="false" outlineLevel="0" collapsed="false">
      <c r="A26" s="11" t="n">
        <v>3</v>
      </c>
      <c r="B26" s="11" t="s">
        <v>2233</v>
      </c>
      <c r="C26" s="68" t="s">
        <v>2234</v>
      </c>
      <c r="D26" s="11" t="s">
        <v>2230</v>
      </c>
      <c r="E26" s="16" t="str">
        <f aca="false">IF(AND(LEN(TRIM(A26&amp;""))&gt;0,TRIM(A26&amp;"")&lt;&gt;"—",LEN(TRIM(B26&amp;""))&gt;0,TRIM(B26&amp;"")&lt;&gt;"—",LEN(TRIM(C26&amp;""))&gt;0,TRIM(C26&amp;"")&lt;&gt;"—",LEN(TRIM(D26&amp;""))&gt;0,TRIM(D26&amp;"")&lt;&gt;"—"),"PASS","⚠ FAIL — "&amp;"a required cell is empty/placeholder or wrong type")</f>
        <v>PASS</v>
      </c>
    </row>
    <row r="27" customFormat="false" ht="15" hidden="false" customHeight="false" outlineLevel="0" collapsed="false">
      <c r="A27" s="11" t="n">
        <v>4</v>
      </c>
      <c r="B27" s="11" t="s">
        <v>2235</v>
      </c>
      <c r="C27" s="68" t="s">
        <v>2236</v>
      </c>
      <c r="D27" s="11" t="s">
        <v>2230</v>
      </c>
      <c r="E27" s="16" t="str">
        <f aca="false">IF(AND(LEN(TRIM(A27&amp;""))&gt;0,TRIM(A27&amp;"")&lt;&gt;"—",LEN(TRIM(B27&amp;""))&gt;0,TRIM(B27&amp;"")&lt;&gt;"—",LEN(TRIM(C27&amp;""))&gt;0,TRIM(C27&amp;"")&lt;&gt;"—",LEN(TRIM(D27&amp;""))&gt;0,TRIM(D27&amp;"")&lt;&gt;"—"),"PASS","⚠ FAIL — "&amp;"a required cell is empty/placeholder or wrong type")</f>
        <v>PASS</v>
      </c>
    </row>
    <row r="29" customFormat="false" ht="15" hidden="false" customHeight="false" outlineLevel="0" collapsed="false">
      <c r="A29" s="8" t="s">
        <v>2237</v>
      </c>
      <c r="B29" s="8"/>
      <c r="C29" s="8"/>
      <c r="D29" s="8"/>
    </row>
    <row r="30" customFormat="false" ht="15" hidden="false" customHeight="false" outlineLevel="0" collapsed="false">
      <c r="A30" s="9" t="s">
        <v>82</v>
      </c>
      <c r="B30" s="9" t="s">
        <v>2225</v>
      </c>
      <c r="C30" s="9" t="s">
        <v>2238</v>
      </c>
      <c r="D30" s="9" t="s">
        <v>2227</v>
      </c>
      <c r="E30" s="10" t="s">
        <v>20</v>
      </c>
    </row>
    <row r="31" customFormat="false" ht="28.5" hidden="false" customHeight="true" outlineLevel="0" collapsed="false">
      <c r="A31" s="11" t="n">
        <v>1</v>
      </c>
      <c r="B31" s="11" t="s">
        <v>2239</v>
      </c>
      <c r="C31" s="68" t="s">
        <v>2240</v>
      </c>
      <c r="D31" s="11" t="s">
        <v>2230</v>
      </c>
      <c r="E31" s="16" t="str">
        <f aca="false">IF(AND(LEN(TRIM(A31&amp;""))&gt;0,TRIM(A31&amp;"")&lt;&gt;"—",LEN(TRIM(B31&amp;""))&gt;0,TRIM(B31&amp;"")&lt;&gt;"—",LEN(TRIM(C31&amp;""))&gt;0,TRIM(C31&amp;"")&lt;&gt;"—",LEN(TRIM(D31&amp;""))&gt;0,TRIM(D31&amp;"")&lt;&gt;"—"),"PASS","⚠ FAIL — "&amp;"a required cell is empty/placeholder or wrong type")</f>
        <v>PASS</v>
      </c>
    </row>
    <row r="32" customFormat="false" ht="15" hidden="false" customHeight="false" outlineLevel="0" collapsed="false">
      <c r="A32" s="11" t="n">
        <v>2</v>
      </c>
      <c r="B32" s="11" t="s">
        <v>2241</v>
      </c>
      <c r="C32" s="68" t="s">
        <v>2198</v>
      </c>
      <c r="D32" s="11" t="s">
        <v>2230</v>
      </c>
      <c r="E32" s="16" t="str">
        <f aca="false">IF(AND(LEN(TRIM(A32&amp;""))&gt;0,TRIM(A32&amp;"")&lt;&gt;"—",LEN(TRIM(B32&amp;""))&gt;0,TRIM(B32&amp;"")&lt;&gt;"—",LEN(TRIM(C32&amp;""))&gt;0,TRIM(C32&amp;"")&lt;&gt;"—",LEN(TRIM(D32&amp;""))&gt;0,TRIM(D32&amp;"")&lt;&gt;"—"),"PASS","⚠ FAIL — "&amp;"a required cell is empty/placeholder or wrong type")</f>
        <v>PASS</v>
      </c>
    </row>
    <row r="33" customFormat="false" ht="15" hidden="false" customHeight="false" outlineLevel="0" collapsed="false">
      <c r="A33" s="11" t="n">
        <v>3</v>
      </c>
      <c r="B33" s="11" t="s">
        <v>2242</v>
      </c>
      <c r="C33" s="68" t="s">
        <v>2198</v>
      </c>
      <c r="D33" s="11" t="s">
        <v>2230</v>
      </c>
      <c r="E33" s="16" t="str">
        <f aca="false">IF(AND(LEN(TRIM(A33&amp;""))&gt;0,TRIM(A33&amp;"")&lt;&gt;"—",LEN(TRIM(B33&amp;""))&gt;0,TRIM(B33&amp;"")&lt;&gt;"—",LEN(TRIM(C33&amp;""))&gt;0,TRIM(C33&amp;"")&lt;&gt;"—",LEN(TRIM(D33&amp;""))&gt;0,TRIM(D33&amp;"")&lt;&gt;"—"),"PASS","⚠ FAIL — "&amp;"a required cell is empty/placeholder or wrong type")</f>
        <v>PASS</v>
      </c>
    </row>
    <row r="34" customFormat="false" ht="28.5" hidden="false" customHeight="true" outlineLevel="0" collapsed="false">
      <c r="A34" s="11" t="n">
        <v>4</v>
      </c>
      <c r="B34" s="11" t="s">
        <v>2243</v>
      </c>
      <c r="C34" s="68" t="s">
        <v>2201</v>
      </c>
      <c r="D34" s="11" t="s">
        <v>2230</v>
      </c>
      <c r="E34" s="16" t="str">
        <f aca="false">IF(AND(LEN(TRIM(A34&amp;""))&gt;0,TRIM(A34&amp;"")&lt;&gt;"—",LEN(TRIM(B34&amp;""))&gt;0,TRIM(B34&amp;"")&lt;&gt;"—",LEN(TRIM(C34&amp;""))&gt;0,TRIM(C34&amp;"")&lt;&gt;"—",LEN(TRIM(D34&amp;""))&gt;0,TRIM(D34&amp;"")&lt;&gt;"—"),"PASS","⚠ FAIL — "&amp;"a required cell is empty/placeholder or wrong type")</f>
        <v>PASS</v>
      </c>
    </row>
    <row r="35" customFormat="false" ht="28.5" hidden="false" customHeight="true" outlineLevel="0" collapsed="false">
      <c r="A35" s="11" t="n">
        <v>5</v>
      </c>
      <c r="B35" s="11" t="s">
        <v>2235</v>
      </c>
      <c r="C35" s="68" t="s">
        <v>2201</v>
      </c>
      <c r="D35" s="11" t="s">
        <v>2230</v>
      </c>
      <c r="E35" s="16" t="str">
        <f aca="false">IF(AND(LEN(TRIM(A35&amp;""))&gt;0,TRIM(A35&amp;"")&lt;&gt;"—",LEN(TRIM(B35&amp;""))&gt;0,TRIM(B35&amp;"")&lt;&gt;"—",LEN(TRIM(C35&amp;""))&gt;0,TRIM(C35&amp;"")&lt;&gt;"—",LEN(TRIM(D35&amp;""))&gt;0,TRIM(D35&amp;"")&lt;&gt;"—"),"PASS","⚠ FAIL — "&amp;"a required cell is empty/placeholder or wrong type")</f>
        <v>PASS</v>
      </c>
    </row>
    <row r="36" customFormat="false" ht="15" hidden="false" customHeight="false" outlineLevel="0" collapsed="false">
      <c r="A36" s="11" t="n">
        <v>6</v>
      </c>
      <c r="B36" s="11" t="s">
        <v>2244</v>
      </c>
      <c r="C36" s="68" t="s">
        <v>2204</v>
      </c>
      <c r="D36" s="11" t="s">
        <v>2230</v>
      </c>
      <c r="E36" s="16" t="str">
        <f aca="false">IF(AND(LEN(TRIM(A36&amp;""))&gt;0,TRIM(A36&amp;"")&lt;&gt;"—",LEN(TRIM(B36&amp;""))&gt;0,TRIM(B36&amp;"")&lt;&gt;"—",LEN(TRIM(C36&amp;""))&gt;0,TRIM(C36&amp;"")&lt;&gt;"—",LEN(TRIM(D36&amp;""))&gt;0,TRIM(D36&amp;"")&lt;&gt;"—"),"PASS","⚠ FAIL — "&amp;"a required cell is empty/placeholder or wrong type")</f>
        <v>PASS</v>
      </c>
    </row>
    <row r="37" customFormat="false" ht="15" hidden="false" customHeight="false" outlineLevel="0" collapsed="false">
      <c r="A37" s="11" t="n">
        <v>7</v>
      </c>
      <c r="B37" s="11" t="s">
        <v>2245</v>
      </c>
      <c r="C37" s="68" t="s">
        <v>2204</v>
      </c>
      <c r="D37" s="11" t="s">
        <v>2230</v>
      </c>
      <c r="E37" s="16" t="str">
        <f aca="false">IF(AND(LEN(TRIM(A37&amp;""))&gt;0,TRIM(A37&amp;"")&lt;&gt;"—",LEN(TRIM(B37&amp;""))&gt;0,TRIM(B37&amp;"")&lt;&gt;"—",LEN(TRIM(C37&amp;""))&gt;0,TRIM(C37&amp;"")&lt;&gt;"—",LEN(TRIM(D37&amp;""))&gt;0,TRIM(D37&amp;"")&lt;&gt;"—"),"PASS","⚠ FAIL — "&amp;"a required cell is empty/placeholder or wrong type")</f>
        <v>PASS</v>
      </c>
    </row>
    <row r="38" customFormat="false" ht="28.5" hidden="false" customHeight="true" outlineLevel="0" collapsed="false">
      <c r="A38" s="11" t="n">
        <v>8</v>
      </c>
      <c r="B38" s="11" t="s">
        <v>2246</v>
      </c>
      <c r="C38" s="68" t="s">
        <v>2207</v>
      </c>
      <c r="D38" s="11" t="s">
        <v>2230</v>
      </c>
      <c r="E38" s="16" t="str">
        <f aca="false">IF(AND(LEN(TRIM(A38&amp;""))&gt;0,TRIM(A38&amp;"")&lt;&gt;"—",LEN(TRIM(B38&amp;""))&gt;0,TRIM(B38&amp;"")&lt;&gt;"—",LEN(TRIM(C38&amp;""))&gt;0,TRIM(C38&amp;"")&lt;&gt;"—",LEN(TRIM(D38&amp;""))&gt;0,TRIM(D38&amp;"")&lt;&gt;"—"),"PASS","⚠ FAIL — "&amp;"a required cell is empty/placeholder or wrong type")</f>
        <v>PASS</v>
      </c>
    </row>
    <row r="39" customFormat="false" ht="28.5" hidden="false" customHeight="true" outlineLevel="0" collapsed="false">
      <c r="A39" s="11" t="n">
        <v>9</v>
      </c>
      <c r="B39" s="11" t="s">
        <v>2247</v>
      </c>
      <c r="C39" s="68" t="s">
        <v>2207</v>
      </c>
      <c r="D39" s="11" t="s">
        <v>2230</v>
      </c>
      <c r="E39" s="16" t="str">
        <f aca="false">IF(AND(LEN(TRIM(A39&amp;""))&gt;0,TRIM(A39&amp;"")&lt;&gt;"—",LEN(TRIM(B39&amp;""))&gt;0,TRIM(B39&amp;"")&lt;&gt;"—",LEN(TRIM(C39&amp;""))&gt;0,TRIM(C39&amp;"")&lt;&gt;"—",LEN(TRIM(D39&amp;""))&gt;0,TRIM(D39&amp;"")&lt;&gt;"—"),"PASS","⚠ FAIL — "&amp;"a required cell is empty/placeholder or wrong type")</f>
        <v>PASS</v>
      </c>
    </row>
    <row r="40" customFormat="false" ht="23.85" hidden="false" customHeight="false" outlineLevel="0" collapsed="false">
      <c r="A40" s="11" t="n">
        <v>10</v>
      </c>
      <c r="B40" s="11" t="s">
        <v>2248</v>
      </c>
      <c r="C40" s="68" t="s">
        <v>2210</v>
      </c>
      <c r="D40" s="11" t="s">
        <v>2230</v>
      </c>
      <c r="E40" s="16" t="str">
        <f aca="false">IF(AND(LEN(TRIM(A40&amp;""))&gt;0,TRIM(A40&amp;"")&lt;&gt;"—",LEN(TRIM(B40&amp;""))&gt;0,TRIM(B40&amp;"")&lt;&gt;"—",LEN(TRIM(C40&amp;""))&gt;0,TRIM(C40&amp;"")&lt;&gt;"—",LEN(TRIM(D40&amp;""))&gt;0,TRIM(D40&amp;"")&lt;&gt;"—"),"PASS","⚠ FAIL — "&amp;"a required cell is empty/placeholder or wrong type")</f>
        <v>PASS</v>
      </c>
    </row>
    <row r="41" customFormat="false" ht="15" hidden="false" customHeight="false" outlineLevel="0" collapsed="false">
      <c r="A41" s="11" t="n">
        <v>11</v>
      </c>
      <c r="B41" s="11" t="s">
        <v>2249</v>
      </c>
      <c r="C41" s="68" t="s">
        <v>2213</v>
      </c>
      <c r="D41" s="11" t="s">
        <v>2230</v>
      </c>
      <c r="E41" s="16" t="str">
        <f aca="false">IF(AND(LEN(TRIM(A41&amp;""))&gt;0,TRIM(A41&amp;"")&lt;&gt;"—",LEN(TRIM(B41&amp;""))&gt;0,TRIM(B41&amp;"")&lt;&gt;"—",LEN(TRIM(C41&amp;""))&gt;0,TRIM(C41&amp;"")&lt;&gt;"—",LEN(TRIM(D41&amp;""))&gt;0,TRIM(D41&amp;"")&lt;&gt;"—"),"PASS","⚠ FAIL — "&amp;"a required cell is empty/placeholder or wrong type")</f>
        <v>PASS</v>
      </c>
    </row>
    <row r="42" customFormat="false" ht="15" hidden="false" customHeight="false" outlineLevel="0" collapsed="false">
      <c r="A42" s="11" t="n">
        <v>12</v>
      </c>
      <c r="B42" s="11" t="s">
        <v>2250</v>
      </c>
      <c r="C42" s="68" t="s">
        <v>2216</v>
      </c>
      <c r="D42" s="11" t="s">
        <v>2230</v>
      </c>
      <c r="E42" s="16" t="str">
        <f aca="false">IF(AND(LEN(TRIM(A42&amp;""))&gt;0,TRIM(A42&amp;"")&lt;&gt;"—",LEN(TRIM(B42&amp;""))&gt;0,TRIM(B42&amp;"")&lt;&gt;"—",LEN(TRIM(C42&amp;""))&gt;0,TRIM(C42&amp;"")&lt;&gt;"—",LEN(TRIM(D42&amp;""))&gt;0,TRIM(D42&amp;"")&lt;&gt;"—"),"PASS","⚠ FAIL — "&amp;"a required cell is empty/placeholder or wrong type")</f>
        <v>PASS</v>
      </c>
    </row>
  </sheetData>
  <autoFilter ref="A5:N15"/>
  <mergeCells count="10">
    <mergeCell ref="A1:M1"/>
    <mergeCell ref="A2:M2"/>
    <mergeCell ref="A3:M3"/>
    <mergeCell ref="A4:K4"/>
    <mergeCell ref="A17:K17"/>
    <mergeCell ref="A18:D18"/>
    <mergeCell ref="A19:D19"/>
    <mergeCell ref="B20:D20"/>
    <mergeCell ref="A22:D22"/>
    <mergeCell ref="A29:D29"/>
  </mergeCells>
  <conditionalFormatting sqref="M6:M15">
    <cfRule type="cellIs" priority="2" operator="equal" aboveAverage="0" equalAverage="0" bottom="0" percent="0" rank="0" text="" dxfId="1">
      <formula>"PASS"</formula>
    </cfRule>
  </conditionalFormatting>
  <hyperlinks>
    <hyperlink ref="N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F5597"/>
    <pageSetUpPr fitToPage="false"/>
  </sheetPr>
  <dimension ref="A1:D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34"/>
    <col collapsed="false" customWidth="true" hidden="false" outlineLevel="0" max="3" min="3" style="0" width="78"/>
  </cols>
  <sheetData>
    <row r="1" customFormat="false" ht="25.5" hidden="false" customHeight="true" outlineLevel="0" collapsed="false">
      <c r="A1" s="1" t="s">
        <v>80</v>
      </c>
      <c r="B1" s="1"/>
      <c r="C1" s="1"/>
    </row>
    <row r="2" customFormat="false" ht="30" hidden="false" customHeight="true" outlineLevel="0" collapsed="false">
      <c r="A2" s="2" t="str">
        <f aca="false">"⬤ TAB QUALITY "&amp;IF(ISNUMBER('Quality &amp; Audit'!$B$55),IF('Quality &amp; Audit'!$B$55=INT('Quality &amp; Audit'!$B$55),TEXT('Quality &amp; Audit'!$B$55,"0"),TEXT('Quality &amp; Audit'!$B$55,"0.0")),"—")&amp;"/10 · "&amp;IF(ISNUMBER('Quality &amp; Audit'!$B$55),IF('Quality &amp; Audit'!$B$55&gt;=8,"PASS","FAIL"),"UNSCORED")&amp;" (target ≥8, live from the Quality &amp; Audit score cell)"&amp;" · index integrity (both directions) — index rows point at an existing tab 30/30; every sheet listed in the index 30/30; cell completeness+type contract 90/90 · score = min…"&amp;" · full audit: Quality &amp; Audit tab"</f>
        <v>⬤ TAB QUALITY 10/10 · PASS (target ≥8, live from the Quality &amp; Audit score cell) · index integrity (both directions) — index rows point at an existing tab 30/30; every sheet listed in the index 30/30; cell completeness+type contract 90/90 · score = min… · full audit: Quality &amp; Audit tab</v>
      </c>
      <c r="B2" s="2"/>
      <c r="C2" s="2"/>
    </row>
    <row r="3" customFormat="false" ht="40.5" hidden="false" customHeight="true" outlineLevel="0" collapsed="false">
      <c r="A3" s="3" t="s">
        <v>81</v>
      </c>
      <c r="B3" s="3"/>
      <c r="C3" s="3"/>
    </row>
    <row r="4" customFormat="false" ht="15" hidden="false" customHeight="false" outlineLevel="0" collapsed="false">
      <c r="A4" s="9" t="s">
        <v>82</v>
      </c>
      <c r="B4" s="9" t="s">
        <v>83</v>
      </c>
      <c r="C4" s="9" t="s">
        <v>84</v>
      </c>
      <c r="D4" s="10" t="s">
        <v>20</v>
      </c>
    </row>
    <row r="5" customFormat="false" ht="15" hidden="false" customHeight="false" outlineLevel="0" collapsed="false">
      <c r="A5" s="11" t="n">
        <v>1</v>
      </c>
      <c r="B5" s="23" t="s">
        <v>85</v>
      </c>
      <c r="C5" s="15" t="s">
        <v>86</v>
      </c>
      <c r="D5" s="16" t="str">
        <f aca="false">IF(AND(LEN(TRIM(A5&amp;""))&gt;0,TRIM(A5&amp;"")&lt;&gt;"—",LEN(TRIM(B5&amp;""))&gt;0,TRIM(B5&amp;"")&lt;&gt;"—",LEN(TRIM(C5&amp;""))&gt;0,TRIM(C5&amp;"")&lt;&gt;"—"),"PASS","⚠ FAIL — "&amp;"a required cell is empty/placeholder or wrong type")</f>
        <v>PASS</v>
      </c>
    </row>
    <row r="6" customFormat="false" ht="15" hidden="false" customHeight="false" outlineLevel="0" collapsed="false">
      <c r="A6" s="11" t="n">
        <v>2</v>
      </c>
      <c r="B6" s="23" t="s">
        <v>87</v>
      </c>
      <c r="C6" s="15" t="s">
        <v>88</v>
      </c>
      <c r="D6" s="16" t="str">
        <f aca="false">IF(AND(LEN(TRIM(A6&amp;""))&gt;0,TRIM(A6&amp;"")&lt;&gt;"—",LEN(TRIM(B6&amp;""))&gt;0,TRIM(B6&amp;"")&lt;&gt;"—",LEN(TRIM(C6&amp;""))&gt;0,TRIM(C6&amp;"")&lt;&gt;"—"),"PASS","⚠ FAIL — "&amp;"a required cell is empty/placeholder or wrong type")</f>
        <v>PASS</v>
      </c>
    </row>
    <row r="7" customFormat="false" ht="15" hidden="false" customHeight="false" outlineLevel="0" collapsed="false">
      <c r="A7" s="11" t="n">
        <v>3</v>
      </c>
      <c r="B7" s="23" t="s">
        <v>89</v>
      </c>
      <c r="C7" s="15" t="s">
        <v>90</v>
      </c>
      <c r="D7" s="16" t="str">
        <f aca="false">IF(AND(LEN(TRIM(A7&amp;""))&gt;0,TRIM(A7&amp;"")&lt;&gt;"—",LEN(TRIM(B7&amp;""))&gt;0,TRIM(B7&amp;"")&lt;&gt;"—",LEN(TRIM(C7&amp;""))&gt;0,TRIM(C7&amp;"")&lt;&gt;"—"),"PASS","⚠ FAIL — "&amp;"a required cell is empty/placeholder or wrong type")</f>
        <v>PASS</v>
      </c>
    </row>
    <row r="8" customFormat="false" ht="15" hidden="false" customHeight="false" outlineLevel="0" collapsed="false">
      <c r="A8" s="11" t="n">
        <v>4</v>
      </c>
      <c r="B8" s="23" t="s">
        <v>91</v>
      </c>
      <c r="C8" s="15" t="s">
        <v>61</v>
      </c>
      <c r="D8" s="16" t="str">
        <f aca="false">IF(AND(LEN(TRIM(A8&amp;""))&gt;0,TRIM(A8&amp;"")&lt;&gt;"—",LEN(TRIM(B8&amp;""))&gt;0,TRIM(B8&amp;"")&lt;&gt;"—",LEN(TRIM(C8&amp;""))&gt;0,TRIM(C8&amp;"")&lt;&gt;"—"),"PASS","⚠ FAIL — "&amp;"a required cell is empty/placeholder or wrong type")</f>
        <v>PASS</v>
      </c>
    </row>
    <row r="9" customFormat="false" ht="15" hidden="false" customHeight="false" outlineLevel="0" collapsed="false">
      <c r="A9" s="11" t="n">
        <v>5</v>
      </c>
      <c r="B9" s="23" t="s">
        <v>92</v>
      </c>
      <c r="C9" s="15" t="s">
        <v>63</v>
      </c>
      <c r="D9" s="16" t="str">
        <f aca="false">IF(AND(LEN(TRIM(A9&amp;""))&gt;0,TRIM(A9&amp;"")&lt;&gt;"—",LEN(TRIM(B9&amp;""))&gt;0,TRIM(B9&amp;"")&lt;&gt;"—",LEN(TRIM(C9&amp;""))&gt;0,TRIM(C9&amp;"")&lt;&gt;"—"),"PASS","⚠ FAIL — "&amp;"a required cell is empty/placeholder or wrong type")</f>
        <v>PASS</v>
      </c>
    </row>
    <row r="10" customFormat="false" ht="15" hidden="false" customHeight="false" outlineLevel="0" collapsed="false">
      <c r="A10" s="11" t="n">
        <v>6</v>
      </c>
      <c r="B10" s="23" t="s">
        <v>93</v>
      </c>
      <c r="C10" s="15" t="s">
        <v>59</v>
      </c>
      <c r="D10" s="16" t="str">
        <f aca="false">IF(AND(LEN(TRIM(A10&amp;""))&gt;0,TRIM(A10&amp;"")&lt;&gt;"—",LEN(TRIM(B10&amp;""))&gt;0,TRIM(B10&amp;"")&lt;&gt;"—",LEN(TRIM(C10&amp;""))&gt;0,TRIM(C10&amp;"")&lt;&gt;"—"),"PASS","⚠ FAIL — "&amp;"a required cell is empty/placeholder or wrong type")</f>
        <v>PASS</v>
      </c>
    </row>
    <row r="11" customFormat="false" ht="15" hidden="false" customHeight="false" outlineLevel="0" collapsed="false">
      <c r="A11" s="11" t="n">
        <v>7</v>
      </c>
      <c r="B11" s="23" t="s">
        <v>94</v>
      </c>
      <c r="C11" s="15" t="s">
        <v>95</v>
      </c>
      <c r="D11" s="16" t="str">
        <f aca="false">IF(AND(LEN(TRIM(A11&amp;""))&gt;0,TRIM(A11&amp;"")&lt;&gt;"—",LEN(TRIM(B11&amp;""))&gt;0,TRIM(B11&amp;"")&lt;&gt;"—",LEN(TRIM(C11&amp;""))&gt;0,TRIM(C11&amp;"")&lt;&gt;"—"),"PASS","⚠ FAIL — "&amp;"a required cell is empty/placeholder or wrong type")</f>
        <v>PASS</v>
      </c>
    </row>
    <row r="12" customFormat="false" ht="15" hidden="false" customHeight="false" outlineLevel="0" collapsed="false">
      <c r="A12" s="11" t="n">
        <v>8</v>
      </c>
      <c r="B12" s="23" t="s">
        <v>96</v>
      </c>
      <c r="C12" s="15" t="s">
        <v>97</v>
      </c>
      <c r="D12" s="16" t="str">
        <f aca="false">IF(AND(LEN(TRIM(A12&amp;""))&gt;0,TRIM(A12&amp;"")&lt;&gt;"—",LEN(TRIM(B12&amp;""))&gt;0,TRIM(B12&amp;"")&lt;&gt;"—",LEN(TRIM(C12&amp;""))&gt;0,TRIM(C12&amp;"")&lt;&gt;"—"),"PASS","⚠ FAIL — "&amp;"a required cell is empty/placeholder or wrong type")</f>
        <v>PASS</v>
      </c>
    </row>
    <row r="13" customFormat="false" ht="15" hidden="false" customHeight="false" outlineLevel="0" collapsed="false">
      <c r="A13" s="11" t="n">
        <v>9</v>
      </c>
      <c r="B13" s="23" t="s">
        <v>98</v>
      </c>
      <c r="C13" s="15" t="s">
        <v>99</v>
      </c>
      <c r="D13" s="16" t="str">
        <f aca="false">IF(AND(LEN(TRIM(A13&amp;""))&gt;0,TRIM(A13&amp;"")&lt;&gt;"—",LEN(TRIM(B13&amp;""))&gt;0,TRIM(B13&amp;"")&lt;&gt;"—",LEN(TRIM(C13&amp;""))&gt;0,TRIM(C13&amp;"")&lt;&gt;"—"),"PASS","⚠ FAIL — "&amp;"a required cell is empty/placeholder or wrong type")</f>
        <v>PASS</v>
      </c>
    </row>
    <row r="14" customFormat="false" ht="15" hidden="false" customHeight="false" outlineLevel="0" collapsed="false">
      <c r="A14" s="11" t="n">
        <v>10</v>
      </c>
      <c r="B14" s="23" t="s">
        <v>100</v>
      </c>
      <c r="C14" s="15" t="s">
        <v>101</v>
      </c>
      <c r="D14" s="16" t="str">
        <f aca="false">IF(AND(LEN(TRIM(A14&amp;""))&gt;0,TRIM(A14&amp;"")&lt;&gt;"—",LEN(TRIM(B14&amp;""))&gt;0,TRIM(B14&amp;"")&lt;&gt;"—",LEN(TRIM(C14&amp;""))&gt;0,TRIM(C14&amp;"")&lt;&gt;"—"),"PASS","⚠ FAIL — "&amp;"a required cell is empty/placeholder or wrong type")</f>
        <v>PASS</v>
      </c>
    </row>
    <row r="15" customFormat="false" ht="15" hidden="false" customHeight="false" outlineLevel="0" collapsed="false">
      <c r="A15" s="11" t="n">
        <v>11</v>
      </c>
      <c r="B15" s="23" t="s">
        <v>102</v>
      </c>
      <c r="C15" s="15" t="s">
        <v>103</v>
      </c>
      <c r="D15" s="16" t="str">
        <f aca="false">IF(AND(LEN(TRIM(A15&amp;""))&gt;0,TRIM(A15&amp;"")&lt;&gt;"—",LEN(TRIM(B15&amp;""))&gt;0,TRIM(B15&amp;"")&lt;&gt;"—",LEN(TRIM(C15&amp;""))&gt;0,TRIM(C15&amp;"")&lt;&gt;"—"),"PASS","⚠ FAIL — "&amp;"a required cell is empty/placeholder or wrong type")</f>
        <v>PASS</v>
      </c>
    </row>
    <row r="16" customFormat="false" ht="15" hidden="false" customHeight="false" outlineLevel="0" collapsed="false">
      <c r="A16" s="11" t="n">
        <v>12</v>
      </c>
      <c r="B16" s="23" t="s">
        <v>104</v>
      </c>
      <c r="C16" s="15" t="s">
        <v>105</v>
      </c>
      <c r="D16" s="16" t="str">
        <f aca="false">IF(AND(LEN(TRIM(A16&amp;""))&gt;0,TRIM(A16&amp;"")&lt;&gt;"—",LEN(TRIM(B16&amp;""))&gt;0,TRIM(B16&amp;"")&lt;&gt;"—",LEN(TRIM(C16&amp;""))&gt;0,TRIM(C16&amp;"")&lt;&gt;"—"),"PASS","⚠ FAIL — "&amp;"a required cell is empty/placeholder or wrong type")</f>
        <v>PASS</v>
      </c>
    </row>
    <row r="17" customFormat="false" ht="15" hidden="false" customHeight="false" outlineLevel="0" collapsed="false">
      <c r="A17" s="11" t="n">
        <v>13</v>
      </c>
      <c r="B17" s="23" t="s">
        <v>106</v>
      </c>
      <c r="C17" s="15" t="s">
        <v>107</v>
      </c>
      <c r="D17" s="16" t="str">
        <f aca="false">IF(AND(LEN(TRIM(A17&amp;""))&gt;0,TRIM(A17&amp;"")&lt;&gt;"—",LEN(TRIM(B17&amp;""))&gt;0,TRIM(B17&amp;"")&lt;&gt;"—",LEN(TRIM(C17&amp;""))&gt;0,TRIM(C17&amp;"")&lt;&gt;"—"),"PASS","⚠ FAIL — "&amp;"a required cell is empty/placeholder or wrong type")</f>
        <v>PASS</v>
      </c>
    </row>
    <row r="18" customFormat="false" ht="15" hidden="false" customHeight="false" outlineLevel="0" collapsed="false">
      <c r="A18" s="11" t="n">
        <v>14</v>
      </c>
      <c r="B18" s="23" t="s">
        <v>108</v>
      </c>
      <c r="C18" s="15" t="s">
        <v>109</v>
      </c>
      <c r="D18" s="16" t="str">
        <f aca="false">IF(AND(LEN(TRIM(A18&amp;""))&gt;0,TRIM(A18&amp;"")&lt;&gt;"—",LEN(TRIM(B18&amp;""))&gt;0,TRIM(B18&amp;"")&lt;&gt;"—",LEN(TRIM(C18&amp;""))&gt;0,TRIM(C18&amp;"")&lt;&gt;"—"),"PASS","⚠ FAIL — "&amp;"a required cell is empty/placeholder or wrong type")</f>
        <v>PASS</v>
      </c>
    </row>
    <row r="19" customFormat="false" ht="15" hidden="false" customHeight="false" outlineLevel="0" collapsed="false">
      <c r="A19" s="11" t="n">
        <v>15</v>
      </c>
      <c r="B19" s="23" t="s">
        <v>110</v>
      </c>
      <c r="C19" s="15" t="s">
        <v>111</v>
      </c>
      <c r="D19" s="16" t="str">
        <f aca="false">IF(AND(LEN(TRIM(A19&amp;""))&gt;0,TRIM(A19&amp;"")&lt;&gt;"—",LEN(TRIM(B19&amp;""))&gt;0,TRIM(B19&amp;"")&lt;&gt;"—",LEN(TRIM(C19&amp;""))&gt;0,TRIM(C19&amp;"")&lt;&gt;"—"),"PASS","⚠ FAIL — "&amp;"a required cell is empty/placeholder or wrong type")</f>
        <v>PASS</v>
      </c>
    </row>
    <row r="20" customFormat="false" ht="15" hidden="false" customHeight="false" outlineLevel="0" collapsed="false">
      <c r="A20" s="11" t="n">
        <v>16</v>
      </c>
      <c r="B20" s="23" t="s">
        <v>112</v>
      </c>
      <c r="C20" s="15" t="s">
        <v>113</v>
      </c>
      <c r="D20" s="16" t="str">
        <f aca="false">IF(AND(LEN(TRIM(A20&amp;""))&gt;0,TRIM(A20&amp;"")&lt;&gt;"—",LEN(TRIM(B20&amp;""))&gt;0,TRIM(B20&amp;"")&lt;&gt;"—",LEN(TRIM(C20&amp;""))&gt;0,TRIM(C20&amp;"")&lt;&gt;"—"),"PASS","⚠ FAIL — "&amp;"a required cell is empty/placeholder or wrong type")</f>
        <v>PASS</v>
      </c>
    </row>
    <row r="21" customFormat="false" ht="15" hidden="false" customHeight="false" outlineLevel="0" collapsed="false">
      <c r="A21" s="11" t="n">
        <v>17</v>
      </c>
      <c r="B21" s="23" t="s">
        <v>114</v>
      </c>
      <c r="C21" s="15" t="s">
        <v>115</v>
      </c>
      <c r="D21" s="16" t="str">
        <f aca="false">IF(AND(LEN(TRIM(A21&amp;""))&gt;0,TRIM(A21&amp;"")&lt;&gt;"—",LEN(TRIM(B21&amp;""))&gt;0,TRIM(B21&amp;"")&lt;&gt;"—",LEN(TRIM(C21&amp;""))&gt;0,TRIM(C21&amp;"")&lt;&gt;"—"),"PASS","⚠ FAIL — "&amp;"a required cell is empty/placeholder or wrong type")</f>
        <v>PASS</v>
      </c>
    </row>
    <row r="22" customFormat="false" ht="15" hidden="false" customHeight="false" outlineLevel="0" collapsed="false">
      <c r="A22" s="11" t="n">
        <v>18</v>
      </c>
      <c r="B22" s="23" t="s">
        <v>116</v>
      </c>
      <c r="C22" s="15" t="s">
        <v>67</v>
      </c>
      <c r="D22" s="16" t="str">
        <f aca="false">IF(AND(LEN(TRIM(A22&amp;""))&gt;0,TRIM(A22&amp;"")&lt;&gt;"—",LEN(TRIM(B22&amp;""))&gt;0,TRIM(B22&amp;"")&lt;&gt;"—",LEN(TRIM(C22&amp;""))&gt;0,TRIM(C22&amp;"")&lt;&gt;"—"),"PASS","⚠ FAIL — "&amp;"a required cell is empty/placeholder or wrong type")</f>
        <v>PASS</v>
      </c>
    </row>
    <row r="23" customFormat="false" ht="15" hidden="false" customHeight="false" outlineLevel="0" collapsed="false">
      <c r="A23" s="11" t="n">
        <v>19</v>
      </c>
      <c r="B23" s="23" t="s">
        <v>117</v>
      </c>
      <c r="C23" s="15" t="s">
        <v>118</v>
      </c>
      <c r="D23" s="16" t="str">
        <f aca="false">IF(AND(LEN(TRIM(A23&amp;""))&gt;0,TRIM(A23&amp;"")&lt;&gt;"—",LEN(TRIM(B23&amp;""))&gt;0,TRIM(B23&amp;"")&lt;&gt;"—",LEN(TRIM(C23&amp;""))&gt;0,TRIM(C23&amp;"")&lt;&gt;"—"),"PASS","⚠ FAIL — "&amp;"a required cell is empty/placeholder or wrong type")</f>
        <v>PASS</v>
      </c>
    </row>
    <row r="24" customFormat="false" ht="15" hidden="false" customHeight="false" outlineLevel="0" collapsed="false">
      <c r="A24" s="11" t="n">
        <v>20</v>
      </c>
      <c r="B24" s="23" t="s">
        <v>119</v>
      </c>
      <c r="C24" s="15" t="s">
        <v>120</v>
      </c>
      <c r="D24" s="16" t="str">
        <f aca="false">IF(AND(LEN(TRIM(A24&amp;""))&gt;0,TRIM(A24&amp;"")&lt;&gt;"—",LEN(TRIM(B24&amp;""))&gt;0,TRIM(B24&amp;"")&lt;&gt;"—",LEN(TRIM(C24&amp;""))&gt;0,TRIM(C24&amp;"")&lt;&gt;"—"),"PASS","⚠ FAIL — "&amp;"a required cell is empty/placeholder or wrong type")</f>
        <v>PASS</v>
      </c>
    </row>
    <row r="25" customFormat="false" ht="15" hidden="false" customHeight="false" outlineLevel="0" collapsed="false">
      <c r="A25" s="11" t="n">
        <v>21</v>
      </c>
      <c r="B25" s="23" t="s">
        <v>121</v>
      </c>
      <c r="C25" s="15" t="s">
        <v>122</v>
      </c>
      <c r="D25" s="16" t="str">
        <f aca="false">IF(AND(LEN(TRIM(A25&amp;""))&gt;0,TRIM(A25&amp;"")&lt;&gt;"—",LEN(TRIM(B25&amp;""))&gt;0,TRIM(B25&amp;"")&lt;&gt;"—",LEN(TRIM(C25&amp;""))&gt;0,TRIM(C25&amp;"")&lt;&gt;"—"),"PASS","⚠ FAIL — "&amp;"a required cell is empty/placeholder or wrong type")</f>
        <v>PASS</v>
      </c>
    </row>
    <row r="26" customFormat="false" ht="15" hidden="false" customHeight="false" outlineLevel="0" collapsed="false">
      <c r="A26" s="11" t="n">
        <v>22</v>
      </c>
      <c r="B26" s="23" t="s">
        <v>123</v>
      </c>
      <c r="C26" s="15" t="s">
        <v>124</v>
      </c>
      <c r="D26" s="16" t="str">
        <f aca="false">IF(AND(LEN(TRIM(A26&amp;""))&gt;0,TRIM(A26&amp;"")&lt;&gt;"—",LEN(TRIM(B26&amp;""))&gt;0,TRIM(B26&amp;"")&lt;&gt;"—",LEN(TRIM(C26&amp;""))&gt;0,TRIM(C26&amp;"")&lt;&gt;"—"),"PASS","⚠ FAIL — "&amp;"a required cell is empty/placeholder or wrong type")</f>
        <v>PASS</v>
      </c>
    </row>
    <row r="27" customFormat="false" ht="15" hidden="false" customHeight="false" outlineLevel="0" collapsed="false">
      <c r="A27" s="11" t="n">
        <v>23</v>
      </c>
      <c r="B27" s="23" t="s">
        <v>125</v>
      </c>
      <c r="C27" s="15" t="s">
        <v>126</v>
      </c>
      <c r="D27" s="16" t="str">
        <f aca="false">IF(AND(LEN(TRIM(A27&amp;""))&gt;0,TRIM(A27&amp;"")&lt;&gt;"—",LEN(TRIM(B27&amp;""))&gt;0,TRIM(B27&amp;"")&lt;&gt;"—",LEN(TRIM(C27&amp;""))&gt;0,TRIM(C27&amp;"")&lt;&gt;"—"),"PASS","⚠ FAIL — "&amp;"a required cell is empty/placeholder or wrong type")</f>
        <v>PASS</v>
      </c>
    </row>
    <row r="28" customFormat="false" ht="15" hidden="false" customHeight="false" outlineLevel="0" collapsed="false">
      <c r="A28" s="11" t="n">
        <v>24</v>
      </c>
      <c r="B28" s="23" t="s">
        <v>127</v>
      </c>
      <c r="C28" s="15" t="s">
        <v>69</v>
      </c>
      <c r="D28" s="16" t="str">
        <f aca="false">IF(AND(LEN(TRIM(A28&amp;""))&gt;0,TRIM(A28&amp;"")&lt;&gt;"—",LEN(TRIM(B28&amp;""))&gt;0,TRIM(B28&amp;"")&lt;&gt;"—",LEN(TRIM(C28&amp;""))&gt;0,TRIM(C28&amp;"")&lt;&gt;"—"),"PASS","⚠ FAIL — "&amp;"a required cell is empty/placeholder or wrong type")</f>
        <v>PASS</v>
      </c>
    </row>
    <row r="29" customFormat="false" ht="15" hidden="false" customHeight="false" outlineLevel="0" collapsed="false">
      <c r="A29" s="11" t="n">
        <v>25</v>
      </c>
      <c r="B29" s="23" t="s">
        <v>128</v>
      </c>
      <c r="C29" s="15" t="s">
        <v>129</v>
      </c>
      <c r="D29" s="16" t="str">
        <f aca="false">IF(AND(LEN(TRIM(A29&amp;""))&gt;0,TRIM(A29&amp;"")&lt;&gt;"—",LEN(TRIM(B29&amp;""))&gt;0,TRIM(B29&amp;"")&lt;&gt;"—",LEN(TRIM(C29&amp;""))&gt;0,TRIM(C29&amp;"")&lt;&gt;"—"),"PASS","⚠ FAIL — "&amp;"a required cell is empty/placeholder or wrong type")</f>
        <v>PASS</v>
      </c>
    </row>
    <row r="30" customFormat="false" ht="15" hidden="false" customHeight="false" outlineLevel="0" collapsed="false">
      <c r="A30" s="11" t="n">
        <v>26</v>
      </c>
      <c r="B30" s="23" t="s">
        <v>130</v>
      </c>
      <c r="C30" s="15" t="s">
        <v>65</v>
      </c>
      <c r="D30" s="16" t="str">
        <f aca="false">IF(AND(LEN(TRIM(A30&amp;""))&gt;0,TRIM(A30&amp;"")&lt;&gt;"—",LEN(TRIM(B30&amp;""))&gt;0,TRIM(B30&amp;"")&lt;&gt;"—",LEN(TRIM(C30&amp;""))&gt;0,TRIM(C30&amp;"")&lt;&gt;"—"),"PASS","⚠ FAIL — "&amp;"a required cell is empty/placeholder or wrong type")</f>
        <v>PASS</v>
      </c>
    </row>
    <row r="31" customFormat="false" ht="15" hidden="false" customHeight="false" outlineLevel="0" collapsed="false">
      <c r="A31" s="11" t="n">
        <v>27</v>
      </c>
      <c r="B31" s="23" t="s">
        <v>131</v>
      </c>
      <c r="C31" s="15" t="s">
        <v>132</v>
      </c>
      <c r="D31" s="16" t="str">
        <f aca="false">IF(AND(LEN(TRIM(A31&amp;""))&gt;0,TRIM(A31&amp;"")&lt;&gt;"—",LEN(TRIM(B31&amp;""))&gt;0,TRIM(B31&amp;"")&lt;&gt;"—",LEN(TRIM(C31&amp;""))&gt;0,TRIM(C31&amp;"")&lt;&gt;"—"),"PASS","⚠ FAIL — "&amp;"a required cell is empty/placeholder or wrong type")</f>
        <v>PASS</v>
      </c>
    </row>
    <row r="32" customFormat="false" ht="15" hidden="false" customHeight="false" outlineLevel="0" collapsed="false">
      <c r="A32" s="11" t="n">
        <v>28</v>
      </c>
      <c r="B32" s="23" t="s">
        <v>133</v>
      </c>
      <c r="C32" s="15" t="s">
        <v>134</v>
      </c>
      <c r="D32" s="16" t="str">
        <f aca="false">IF(AND(LEN(TRIM(A32&amp;""))&gt;0,TRIM(A32&amp;"")&lt;&gt;"—",LEN(TRIM(B32&amp;""))&gt;0,TRIM(B32&amp;"")&lt;&gt;"—",LEN(TRIM(C32&amp;""))&gt;0,TRIM(C32&amp;"")&lt;&gt;"—"),"PASS","⚠ FAIL — "&amp;"a required cell is empty/placeholder or wrong type")</f>
        <v>PASS</v>
      </c>
    </row>
    <row r="33" customFormat="false" ht="15" hidden="false" customHeight="false" outlineLevel="0" collapsed="false">
      <c r="A33" s="11" t="n">
        <v>29</v>
      </c>
      <c r="B33" s="23" t="s">
        <v>135</v>
      </c>
      <c r="C33" s="15" t="s">
        <v>136</v>
      </c>
      <c r="D33" s="16" t="str">
        <f aca="false">IF(AND(LEN(TRIM(A33&amp;""))&gt;0,TRIM(A33&amp;"")&lt;&gt;"—",LEN(TRIM(B33&amp;""))&gt;0,TRIM(B33&amp;"")&lt;&gt;"—",LEN(TRIM(C33&amp;""))&gt;0,TRIM(C33&amp;"")&lt;&gt;"—"),"PASS","⚠ FAIL — "&amp;"a required cell is empty/placeholder or wrong type")</f>
        <v>PASS</v>
      </c>
    </row>
    <row r="34" customFormat="false" ht="15" hidden="false" customHeight="false" outlineLevel="0" collapsed="false">
      <c r="A34" s="11" t="n">
        <v>30</v>
      </c>
      <c r="B34" s="23" t="s">
        <v>137</v>
      </c>
      <c r="C34" s="15" t="s">
        <v>138</v>
      </c>
      <c r="D34" s="16" t="str">
        <f aca="false">IF(AND(LEN(TRIM(A34&amp;""))&gt;0,TRIM(A34&amp;"")&lt;&gt;"—",LEN(TRIM(B34&amp;""))&gt;0,TRIM(B34&amp;"")&lt;&gt;"—",LEN(TRIM(C34&amp;""))&gt;0,TRIM(C34&amp;"")&lt;&gt;"—"),"PASS","⚠ FAIL — "&amp;"a required cell is empty/placeholder or wrong type")</f>
        <v>PASS</v>
      </c>
    </row>
  </sheetData>
  <mergeCells count="3">
    <mergeCell ref="A1:C1"/>
    <mergeCell ref="A2:C2"/>
    <mergeCell ref="A3:C3"/>
  </mergeCells>
  <hyperlinks>
    <hyperlink ref="B5" location="'Executive Summary'!A1" display="Executive Summary"/>
    <hyperlink ref="B6" location="'Overview'!A1" display="Overview"/>
    <hyperlink ref="B7" location="'Renders'!A1" display="Renders"/>
    <hyperlink ref="B8" location="'Cost waterfall'!A1" display="Cost waterfall"/>
    <hyperlink ref="B9" location="'Financial model'!A1" display="Financial model"/>
    <hyperlink ref="B10" location="'Bill of Materials (Ledger)'!A1" display="Bill of Materials (Ledger)"/>
    <hyperlink ref="B11" location="'Brief'!A1" display="Brief"/>
    <hyperlink ref="B12" location="'Design basis'!A1" display="Design basis"/>
    <hyperlink ref="B13" location="'Drawings'!A1" display="Drawings"/>
    <hyperlink ref="B14" location="'BFD — Block Flow'!A1" display="BFD — Block Flow"/>
    <hyperlink ref="B15" location="'P&amp;ID'!A1" display="P&amp;ID"/>
    <hyperlink ref="B16" location="'Process schedules'!A1" display="Process schedules"/>
    <hyperlink ref="B17" location="'GA — General Arrangement'!A1" display="GA — General Arrangement"/>
    <hyperlink ref="B18" location="'HVAC'!A1" display="HVAC"/>
    <hyperlink ref="B19" location="'Electrical'!A1" display="Electrical"/>
    <hyperlink ref="B20" location="'Line &amp; velocity'!A1" display="Line &amp; velocity"/>
    <hyperlink ref="B21" location="'Assembly sequence'!A1" display="Assembly sequence"/>
    <hyperlink ref="B22" location="'Risk &amp; Regulatory'!A1" display="Risk &amp; Regulatory"/>
    <hyperlink ref="B23" location="'Holds &amp; exclusions'!A1" display="Holds &amp; exclusions"/>
    <hyperlink ref="B24" location="'Questions for the customer'!A1" display="Questions for the customer"/>
    <hyperlink ref="B25" location="'Quality &amp; Audit'!A1" display="Quality &amp; Audit"/>
    <hyperlink ref="B26" location="'Sense-check'!A1" display="Sense-check"/>
    <hyperlink ref="B27" location="'⚠ Checks'!A1" display="⚠ Checks"/>
    <hyperlink ref="B28" location="'Connection trace'!A1" display="Connection trace"/>
    <hyperlink ref="B29" location="'Quantities'!A1" display="Quantities"/>
    <hyperlink ref="B30" location="'Calculations'!A1" display="Calculations"/>
    <hyperlink ref="B31" location="'Inputs &amp; Assumptions'!A1" display="Inputs &amp; Assumptions"/>
    <hyperlink ref="B32" location="'Part names'!A1" display="Part names"/>
    <hyperlink ref="B33" location="'Glossary'!A1" display="Glossary"/>
    <hyperlink ref="B34" location="'Audit data'!A1" display="Audit data"/>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55A11"/>
    <pageSetUpPr fitToPage="false"/>
  </sheetPr>
  <dimension ref="A1:F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11"/>
    <col collapsed="false" customWidth="true" hidden="false" outlineLevel="0" max="2" min="2" style="0" width="46"/>
    <col collapsed="false" customWidth="true" hidden="false" outlineLevel="0" max="3" min="3" style="0" width="44"/>
    <col collapsed="false" customWidth="true" hidden="false" outlineLevel="0" max="4" min="4" style="0" width="40"/>
    <col collapsed="false" customWidth="true" hidden="false" outlineLevel="0" max="5" min="5" style="0" width="52"/>
    <col collapsed="false" customWidth="true" hidden="false" outlineLevel="0" max="6" min="6" style="0" width="13"/>
  </cols>
  <sheetData>
    <row r="1" customFormat="false" ht="25.5" hidden="false" customHeight="true" outlineLevel="0" collapsed="false">
      <c r="A1" s="1" t="s">
        <v>2251</v>
      </c>
      <c r="B1" s="1"/>
      <c r="C1" s="1"/>
      <c r="D1" s="1"/>
      <c r="E1" s="1"/>
      <c r="F1" s="24" t="s">
        <v>140</v>
      </c>
    </row>
    <row r="2" customFormat="false" ht="30" hidden="false" customHeight="true" outlineLevel="0" collapsed="false">
      <c r="A2" s="2" t="str">
        <f aca="false">"⬤ TAB QUALITY "&amp;IF(ISNUMBER('Quality &amp; Audit'!$B$43),IF('Quality &amp; Audit'!$B$43=INT('Quality &amp; Audit'!$B$43),TEXT('Quality &amp; Audit'!$B$43,"0"),TEXT('Quality &amp; Audit'!$B$43,"0.0")),"—")&amp;"/10 · "&amp;IF(ISNUMBER('Quality &amp; Audit'!$B$43),IF('Quality &amp; Audit'!$B$43&gt;=8,"PASS","FAIL"),"UNSCORED")&amp;" (target ≥8, live from the Quality &amp; Audit score cell)"&amp;" · live-derivation check (each hold re-derived from the current contract results) — rendered holds match the LIVE re-derivation (stale hold = fail) 5/5; cell completeness+t…"&amp;" · full audit: Quality &amp; Audit tab"</f>
        <v>⬤ TAB QUALITY 8/10 · PASS (target ≥8, live from the Quality &amp; Audit score cell) · live-derivation check (each hold re-derived from the current contract results) — rendered holds match the LIVE re-derivation (stale hold = fail) 5/5; cell completeness+t… · full audit: Quality &amp; Audit tab</v>
      </c>
      <c r="B2" s="2"/>
      <c r="C2" s="2"/>
      <c r="D2" s="2"/>
      <c r="E2" s="2"/>
    </row>
    <row r="3" customFormat="false" ht="40.5" hidden="false" customHeight="true" outlineLevel="0" collapsed="false">
      <c r="A3" s="3" t="s">
        <v>2252</v>
      </c>
      <c r="B3" s="3"/>
      <c r="C3" s="3"/>
      <c r="D3" s="3"/>
      <c r="E3" s="3"/>
    </row>
    <row r="4" customFormat="false" ht="15" hidden="false" customHeight="false" outlineLevel="0" collapsed="false">
      <c r="A4" s="8" t="s">
        <v>2253</v>
      </c>
      <c r="B4" s="8"/>
      <c r="C4" s="8"/>
      <c r="D4" s="8"/>
      <c r="E4" s="8"/>
    </row>
    <row r="5" customFormat="false" ht="15" hidden="false" customHeight="false" outlineLevel="0" collapsed="false">
      <c r="A5" s="9" t="s">
        <v>2254</v>
      </c>
      <c r="B5" s="9" t="s">
        <v>254</v>
      </c>
      <c r="C5" s="9" t="s">
        <v>2255</v>
      </c>
      <c r="D5" s="9" t="s">
        <v>2256</v>
      </c>
      <c r="E5" s="9" t="s">
        <v>2257</v>
      </c>
      <c r="F5" s="10" t="s">
        <v>20</v>
      </c>
    </row>
    <row r="6" customFormat="false" ht="43.5" hidden="false" customHeight="true" outlineLevel="0" collapsed="false">
      <c r="A6" s="105" t="s">
        <v>2258</v>
      </c>
      <c r="B6" s="106" t="s">
        <v>2259</v>
      </c>
      <c r="C6" s="15" t="s">
        <v>2260</v>
      </c>
      <c r="D6" s="15" t="s">
        <v>2261</v>
      </c>
      <c r="E6" s="15" t="s">
        <v>2262</v>
      </c>
      <c r="F6" s="16" t="str">
        <f aca="false">IF(AND(LEN(TRIM(A6&amp;""))&gt;0,TRIM(A6&amp;"")&lt;&gt;"—",LEN(TRIM(B6&amp;""))&gt;0,TRIM(B6&amp;"")&lt;&gt;"—",LEN(TRIM(C6&amp;""))&gt;0,TRIM(C6&amp;"")&lt;&gt;"—",LEN(TRIM(D6&amp;""))&gt;0,TRIM(D6&amp;"")&lt;&gt;"—",LEN(TRIM(E6&amp;""))&gt;0,TRIM(E6&amp;"")&lt;&gt;"—"),"PASS","⚠ FAIL — "&amp;"a required cell is empty/placeholder or wrong type")</f>
        <v>PASS</v>
      </c>
    </row>
    <row r="7" customFormat="false" ht="57.75" hidden="false" customHeight="true" outlineLevel="0" collapsed="false">
      <c r="A7" s="105" t="s">
        <v>2263</v>
      </c>
      <c r="B7" s="106" t="s">
        <v>2264</v>
      </c>
      <c r="C7" s="15" t="s">
        <v>2265</v>
      </c>
      <c r="D7" s="15" t="s">
        <v>2266</v>
      </c>
      <c r="E7" s="15" t="s">
        <v>2267</v>
      </c>
      <c r="F7" s="16" t="str">
        <f aca="false">IF(AND(LEN(TRIM(A7&amp;""))&gt;0,TRIM(A7&amp;"")&lt;&gt;"—",LEN(TRIM(B7&amp;""))&gt;0,TRIM(B7&amp;"")&lt;&gt;"—",LEN(TRIM(C7&amp;""))&gt;0,TRIM(C7&amp;"")&lt;&gt;"—",LEN(TRIM(D7&amp;""))&gt;0,TRIM(D7&amp;"")&lt;&gt;"—",LEN(TRIM(E7&amp;""))&gt;0,TRIM(E7&amp;"")&lt;&gt;"—"),"PASS","⚠ FAIL — "&amp;"a required cell is empty/placeholder or wrong type")</f>
        <v>PASS</v>
      </c>
    </row>
    <row r="8" customFormat="false" ht="28.5" hidden="false" customHeight="true" outlineLevel="0" collapsed="false">
      <c r="A8" s="105" t="s">
        <v>2268</v>
      </c>
      <c r="B8" s="106" t="s">
        <v>2269</v>
      </c>
      <c r="C8" s="15" t="s">
        <v>2270</v>
      </c>
      <c r="D8" s="15" t="s">
        <v>2271</v>
      </c>
      <c r="E8" s="15" t="s">
        <v>2272</v>
      </c>
      <c r="F8" s="16" t="str">
        <f aca="false">IF(AND(LEN(TRIM(A8&amp;""))&gt;0,TRIM(A8&amp;"")&lt;&gt;"—",LEN(TRIM(B8&amp;""))&gt;0,TRIM(B8&amp;"")&lt;&gt;"—",LEN(TRIM(C8&amp;""))&gt;0,TRIM(C8&amp;"")&lt;&gt;"—",LEN(TRIM(D8&amp;""))&gt;0,TRIM(D8&amp;"")&lt;&gt;"—",LEN(TRIM(E8&amp;""))&gt;0,TRIM(E8&amp;"")&lt;&gt;"—"),"PASS","⚠ FAIL — "&amp;"a required cell is empty/placeholder or wrong type")</f>
        <v>PASS</v>
      </c>
    </row>
    <row r="9" customFormat="false" ht="57.75" hidden="false" customHeight="true" outlineLevel="0" collapsed="false">
      <c r="A9" s="105" t="s">
        <v>2273</v>
      </c>
      <c r="B9" s="106" t="s">
        <v>2274</v>
      </c>
      <c r="C9" s="15" t="s">
        <v>2275</v>
      </c>
      <c r="D9" s="15" t="s">
        <v>2276</v>
      </c>
      <c r="E9" s="15" t="s">
        <v>2277</v>
      </c>
      <c r="F9" s="16" t="str">
        <f aca="false">IF(AND(LEN(TRIM(A9&amp;""))&gt;0,TRIM(A9&amp;"")&lt;&gt;"—",LEN(TRIM(B9&amp;""))&gt;0,TRIM(B9&amp;"")&lt;&gt;"—",LEN(TRIM(C9&amp;""))&gt;0,TRIM(C9&amp;"")&lt;&gt;"—",LEN(TRIM(D9&amp;""))&gt;0,TRIM(D9&amp;"")&lt;&gt;"—",LEN(TRIM(E9&amp;""))&gt;0,TRIM(E9&amp;"")&lt;&gt;"—"),"PASS","⚠ FAIL — "&amp;"a required cell is empty/placeholder or wrong type")</f>
        <v>PASS</v>
      </c>
    </row>
    <row r="10" customFormat="false" ht="57.75" hidden="false" customHeight="true" outlineLevel="0" collapsed="false">
      <c r="A10" s="105" t="s">
        <v>2278</v>
      </c>
      <c r="B10" s="106" t="s">
        <v>2279</v>
      </c>
      <c r="C10" s="15" t="s">
        <v>2280</v>
      </c>
      <c r="D10" s="15" t="s">
        <v>2281</v>
      </c>
      <c r="E10" s="15" t="s">
        <v>2282</v>
      </c>
      <c r="F10" s="16" t="str">
        <f aca="false">IF(AND(LEN(TRIM(A10&amp;""))&gt;0,TRIM(A10&amp;"")&lt;&gt;"—",LEN(TRIM(B10&amp;""))&gt;0,TRIM(B10&amp;"")&lt;&gt;"—",LEN(TRIM(C10&amp;""))&gt;0,TRIM(C10&amp;"")&lt;&gt;"—",LEN(TRIM(D10&amp;""))&gt;0,TRIM(D10&amp;"")&lt;&gt;"—",LEN(TRIM(E10&amp;""))&gt;0,TRIM(E10&amp;"")&lt;&gt;"—"),"PASS","⚠ FAIL — "&amp;"a required cell is empty/placeholder or wrong type")</f>
        <v>PASS</v>
      </c>
    </row>
    <row r="12" customFormat="false" ht="15" hidden="false" customHeight="false" outlineLevel="0" collapsed="false">
      <c r="A12" s="8" t="s">
        <v>2283</v>
      </c>
      <c r="B12" s="8"/>
      <c r="C12" s="8"/>
      <c r="D12" s="8"/>
      <c r="E12" s="8"/>
    </row>
    <row r="13" customFormat="false" ht="15" hidden="false" customHeight="true" outlineLevel="0" collapsed="false">
      <c r="B13" s="6" t="s">
        <v>2284</v>
      </c>
      <c r="C13" s="6"/>
      <c r="D13" s="6"/>
      <c r="E13" s="6"/>
    </row>
    <row r="14" customFormat="false" ht="15" hidden="false" customHeight="true" outlineLevel="0" collapsed="false">
      <c r="B14" s="6" t="s">
        <v>2285</v>
      </c>
      <c r="C14" s="6"/>
      <c r="D14" s="6"/>
      <c r="E14" s="6"/>
    </row>
    <row r="15" customFormat="false" ht="15" hidden="false" customHeight="true" outlineLevel="0" collapsed="false">
      <c r="B15" s="6" t="s">
        <v>2286</v>
      </c>
      <c r="C15" s="6"/>
      <c r="D15" s="6"/>
      <c r="E15" s="6"/>
    </row>
    <row r="16" customFormat="false" ht="15" hidden="false" customHeight="true" outlineLevel="0" collapsed="false">
      <c r="B16" s="6" t="s">
        <v>2287</v>
      </c>
      <c r="C16" s="6"/>
      <c r="D16" s="6"/>
      <c r="E16" s="6"/>
    </row>
    <row r="17" customFormat="false" ht="15" hidden="false" customHeight="true" outlineLevel="0" collapsed="false">
      <c r="B17" s="6" t="s">
        <v>2288</v>
      </c>
      <c r="C17" s="6"/>
      <c r="D17" s="6"/>
      <c r="E17" s="6"/>
    </row>
  </sheetData>
  <mergeCells count="10">
    <mergeCell ref="A1:E1"/>
    <mergeCell ref="A2:E2"/>
    <mergeCell ref="A3:E3"/>
    <mergeCell ref="A4:E4"/>
    <mergeCell ref="A12:E12"/>
    <mergeCell ref="B13:E13"/>
    <mergeCell ref="B14:E14"/>
    <mergeCell ref="B15:E15"/>
    <mergeCell ref="B16:E16"/>
    <mergeCell ref="B17:E17"/>
  </mergeCells>
  <hyperlinks>
    <hyperlink ref="F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55A11"/>
    <pageSetUpPr fitToPage="false"/>
  </sheetPr>
  <dimension ref="A1:F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58"/>
    <col collapsed="false" customWidth="true" hidden="false" outlineLevel="0" max="3" min="3" style="0" width="50"/>
    <col collapsed="false" customWidth="true" hidden="false" outlineLevel="0" max="5" min="4" style="0" width="44"/>
    <col collapsed="false" customWidth="true" hidden="false" outlineLevel="0" max="6" min="6" style="0" width="13"/>
  </cols>
  <sheetData>
    <row r="1" customFormat="false" ht="25.5" hidden="false" customHeight="true" outlineLevel="0" collapsed="false">
      <c r="A1" s="1" t="s">
        <v>2289</v>
      </c>
      <c r="B1" s="1"/>
      <c r="C1" s="1"/>
      <c r="D1" s="1"/>
      <c r="E1" s="1"/>
      <c r="F1" s="24" t="s">
        <v>140</v>
      </c>
    </row>
    <row r="2" customFormat="false" ht="30" hidden="false" customHeight="true" outlineLevel="0" collapsed="false">
      <c r="A2" s="2" t="str">
        <f aca="false">"⬤ TAB QUALITY "&amp;IF(ISNUMBER('Quality &amp; Audit'!$B$44),IF('Quality &amp; Audit'!$B$44=INT('Quality &amp; Audit'!$B$44),TEXT('Quality &amp; Audit'!$B$44,"0"),TEXT('Quality &amp; Audit'!$B$44,"0.0")),"—")&amp;"/10 · "&amp;IF(ISNUMBER('Quality &amp; Audit'!$B$44),IF('Quality &amp; Audit'!$B$44&gt;=8,"PASS","FAIL"),"UNSCORED")&amp;" (target ≥8, live from the Quality &amp; Audit score cell)"&amp;" · live-derivation check (each question re-derived from the run's own artefacts: brief augmentation, plausibility critic, decisions register, client-offer reconciliation) —…"&amp;" · full audit: Quality &amp; Audit tab"</f>
        <v>⬤ TAB QUALITY 10/10 · PASS (target ≥8, live from the Quality &amp; Audit score cell) · live-derivation check (each question re-derived from the run's own artefacts: brief augmentation, plausibility critic, decisions register, client-offer reconciliation) —… · full audit: Quality &amp; Audit tab</v>
      </c>
      <c r="B2" s="2"/>
      <c r="C2" s="2"/>
      <c r="D2" s="2"/>
      <c r="E2" s="2"/>
    </row>
    <row r="3" customFormat="false" ht="54" hidden="false" customHeight="true" outlineLevel="0" collapsed="false">
      <c r="A3" s="3" t="s">
        <v>2290</v>
      </c>
      <c r="B3" s="3"/>
      <c r="C3" s="3"/>
      <c r="D3" s="3"/>
      <c r="E3" s="3"/>
    </row>
    <row r="4" customFormat="false" ht="15" hidden="false" customHeight="false" outlineLevel="0" collapsed="false">
      <c r="A4" s="8" t="s">
        <v>2291</v>
      </c>
      <c r="B4" s="8"/>
      <c r="C4" s="8"/>
      <c r="D4" s="8"/>
      <c r="E4" s="8"/>
    </row>
    <row r="5" customFormat="false" ht="15" hidden="false" customHeight="false" outlineLevel="0" collapsed="false">
      <c r="A5" s="9" t="s">
        <v>2292</v>
      </c>
      <c r="B5" s="9" t="s">
        <v>2293</v>
      </c>
      <c r="C5" s="9" t="s">
        <v>2294</v>
      </c>
      <c r="D5" s="9" t="s">
        <v>2295</v>
      </c>
      <c r="E5" s="9" t="s">
        <v>2296</v>
      </c>
      <c r="F5" s="10" t="s">
        <v>20</v>
      </c>
    </row>
    <row r="6" customFormat="false" ht="57.75" hidden="false" customHeight="true" outlineLevel="0" collapsed="false">
      <c r="A6" s="107" t="s">
        <v>2297</v>
      </c>
      <c r="B6" s="106" t="s">
        <v>2298</v>
      </c>
      <c r="C6" s="15" t="s">
        <v>2299</v>
      </c>
      <c r="D6" s="15" t="s">
        <v>2300</v>
      </c>
      <c r="E6" s="15" t="s">
        <v>2301</v>
      </c>
      <c r="F6" s="16" t="str">
        <f aca="false">IF(AND(LEN(TRIM(A6&amp;""))&gt;0,TRIM(A6&amp;"")&lt;&gt;"—",LEN(TRIM(B6&amp;""))&gt;0,TRIM(B6&amp;"")&lt;&gt;"—",LEN(TRIM(C6&amp;""))&gt;0,TRIM(C6&amp;"")&lt;&gt;"—",LEN(TRIM(D6&amp;""))&gt;0,TRIM(D6&amp;"")&lt;&gt;"—",LEN(TRIM(E6&amp;""))&gt;0,TRIM(E6&amp;"")&lt;&gt;"—"),"PASS","⚠ FAIL — "&amp;"a required cell is empty/placeholder or wrong type")</f>
        <v>PASS</v>
      </c>
    </row>
    <row r="7" customFormat="false" ht="57.75" hidden="false" customHeight="true" outlineLevel="0" collapsed="false">
      <c r="A7" s="107" t="s">
        <v>2302</v>
      </c>
      <c r="B7" s="106" t="s">
        <v>2303</v>
      </c>
      <c r="C7" s="15" t="s">
        <v>2304</v>
      </c>
      <c r="D7" s="15" t="s">
        <v>2300</v>
      </c>
      <c r="E7" s="15" t="s">
        <v>2301</v>
      </c>
      <c r="F7" s="16" t="str">
        <f aca="false">IF(AND(LEN(TRIM(A7&amp;""))&gt;0,TRIM(A7&amp;"")&lt;&gt;"—",LEN(TRIM(B7&amp;""))&gt;0,TRIM(B7&amp;"")&lt;&gt;"—",LEN(TRIM(C7&amp;""))&gt;0,TRIM(C7&amp;"")&lt;&gt;"—",LEN(TRIM(D7&amp;""))&gt;0,TRIM(D7&amp;"")&lt;&gt;"—",LEN(TRIM(E7&amp;""))&gt;0,TRIM(E7&amp;"")&lt;&gt;"—"),"PASS","⚠ FAIL — "&amp;"a required cell is empty/placeholder or wrong type")</f>
        <v>PASS</v>
      </c>
    </row>
    <row r="8" customFormat="false" ht="87" hidden="false" customHeight="true" outlineLevel="0" collapsed="false">
      <c r="A8" s="107" t="s">
        <v>2305</v>
      </c>
      <c r="B8" s="106" t="s">
        <v>2306</v>
      </c>
      <c r="C8" s="15" t="s">
        <v>2307</v>
      </c>
      <c r="D8" s="15" t="s">
        <v>2308</v>
      </c>
      <c r="E8" s="15" t="s">
        <v>2309</v>
      </c>
      <c r="F8" s="16" t="str">
        <f aca="false">IF(AND(LEN(TRIM(A8&amp;""))&gt;0,TRIM(A8&amp;"")&lt;&gt;"—",LEN(TRIM(B8&amp;""))&gt;0,TRIM(B8&amp;"")&lt;&gt;"—",LEN(TRIM(C8&amp;""))&gt;0,TRIM(C8&amp;"")&lt;&gt;"—",LEN(TRIM(D8&amp;""))&gt;0,TRIM(D8&amp;"")&lt;&gt;"—",LEN(TRIM(E8&amp;""))&gt;0,TRIM(E8&amp;"")&lt;&gt;"—"),"PASS","⚠ FAIL — "&amp;"a required cell is empty/placeholder or wrong type")</f>
        <v>PASS</v>
      </c>
    </row>
    <row r="9" customFormat="false" ht="72" hidden="false" customHeight="true" outlineLevel="0" collapsed="false">
      <c r="A9" s="107" t="s">
        <v>2310</v>
      </c>
      <c r="B9" s="106" t="s">
        <v>2311</v>
      </c>
      <c r="C9" s="15" t="s">
        <v>2312</v>
      </c>
      <c r="D9" s="15" t="s">
        <v>2313</v>
      </c>
      <c r="E9" s="15" t="s">
        <v>2314</v>
      </c>
      <c r="F9" s="16" t="str">
        <f aca="false">IF(AND(LEN(TRIM(A9&amp;""))&gt;0,TRIM(A9&amp;"")&lt;&gt;"—",LEN(TRIM(B9&amp;""))&gt;0,TRIM(B9&amp;"")&lt;&gt;"—",LEN(TRIM(C9&amp;""))&gt;0,TRIM(C9&amp;"")&lt;&gt;"—",LEN(TRIM(D9&amp;""))&gt;0,TRIM(D9&amp;"")&lt;&gt;"—",LEN(TRIM(E9&amp;""))&gt;0,TRIM(E9&amp;"")&lt;&gt;"—"),"PASS","⚠ FAIL — "&amp;"a required cell is empty/placeholder or wrong type")</f>
        <v>PASS</v>
      </c>
    </row>
    <row r="10" customFormat="false" ht="72" hidden="false" customHeight="true" outlineLevel="0" collapsed="false">
      <c r="A10" s="107" t="s">
        <v>2315</v>
      </c>
      <c r="B10" s="106" t="s">
        <v>2316</v>
      </c>
      <c r="C10" s="15" t="s">
        <v>2317</v>
      </c>
      <c r="D10" s="15" t="s">
        <v>2318</v>
      </c>
      <c r="E10" s="15" t="s">
        <v>2319</v>
      </c>
      <c r="F10" s="16" t="str">
        <f aca="false">IF(AND(LEN(TRIM(A10&amp;""))&gt;0,TRIM(A10&amp;"")&lt;&gt;"—",LEN(TRIM(B10&amp;""))&gt;0,TRIM(B10&amp;"")&lt;&gt;"—",LEN(TRIM(C10&amp;""))&gt;0,TRIM(C10&amp;"")&lt;&gt;"—",LEN(TRIM(D10&amp;""))&gt;0,TRIM(D10&amp;"")&lt;&gt;"—",LEN(TRIM(E10&amp;""))&gt;0,TRIM(E10&amp;"")&lt;&gt;"—"),"PASS","⚠ FAIL — "&amp;"a required cell is empty/placeholder or wrong type")</f>
        <v>PASS</v>
      </c>
    </row>
  </sheetData>
  <mergeCells count="4">
    <mergeCell ref="A1:E1"/>
    <mergeCell ref="A2:E2"/>
    <mergeCell ref="A3:E3"/>
    <mergeCell ref="A4:E4"/>
  </mergeCells>
  <hyperlinks>
    <hyperlink ref="F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55A11"/>
    <pageSetUpPr fitToPage="false"/>
  </sheetPr>
  <dimension ref="A1:Q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28"/>
    <col collapsed="false" customWidth="true" hidden="false" outlineLevel="0" max="2" min="2" style="0" width="30"/>
    <col collapsed="false" customWidth="true" hidden="false" outlineLevel="0" max="3" min="3" style="0" width="60"/>
    <col collapsed="false" customWidth="true" hidden="false" outlineLevel="0" max="4" min="4" style="0" width="82"/>
    <col collapsed="false" customWidth="true" hidden="false" outlineLevel="0" max="5" min="5" style="0" width="24"/>
    <col collapsed="false" customWidth="true" hidden="false" outlineLevel="0" max="6" min="6" style="0" width="13"/>
    <col collapsed="false" customWidth="true" hidden="false" outlineLevel="0" max="16" min="7" style="0" width="6"/>
  </cols>
  <sheetData>
    <row r="1" customFormat="false" ht="25.5" hidden="false" customHeight="true" outlineLevel="0" collapsed="false">
      <c r="A1" s="1" t="s">
        <v>2320</v>
      </c>
      <c r="B1" s="1"/>
      <c r="C1" s="1"/>
      <c r="D1" s="1"/>
      <c r="E1" s="1"/>
      <c r="F1" s="24" t="s">
        <v>140</v>
      </c>
    </row>
    <row r="2" customFormat="false" ht="30" hidden="false" customHeight="true" outlineLevel="0" collapsed="false">
      <c r="A2" s="2" t="str">
        <f aca="false">"⬤ TAB QUALITY "&amp;IF(ISNUMBER('Quality &amp; Audit'!$B$26),IF('Quality &amp; Audit'!$B$26=INT('Quality &amp; Audit'!$B$26),TEXT('Quality &amp; Audit'!$B$26,"0"),TEXT('Quality &amp; Audit'!$B$26,"0.0")),"—")&amp;"/10 · "&amp;IF(ISNUMBER('Quality &amp; Audit'!$B$26),IF('Quality &amp; Audit'!$B$26&gt;=8,"PASS","FAIL"),"UNSCORED")&amp;" (target ≥8, live from the Quality &amp; Audit score cell)"&amp;" · THE dossier floor — min score of every deterministic section &amp; non-mirror tab (identical to the verdict computation); own content check: floor mirror + audit-surface int…"&amp;" · full audit: Quality &amp; Audit tab"</f>
        <v>⬤ TAB QUALITY 8/10 · PASS (target ≥8, live from the Quality &amp; Audit score cell) · THE dossier floor — min score of every deterministic section &amp; non-mirror tab (identical to the verdict computation); own content check: floor mirror + audit-surface int… · full audit: Quality &amp; Audit tab</v>
      </c>
      <c r="B2" s="2"/>
      <c r="C2" s="2"/>
      <c r="D2" s="2"/>
      <c r="E2" s="2"/>
    </row>
    <row r="3" customFormat="false" ht="40.5" hidden="false" customHeight="true" outlineLevel="0" collapsed="false">
      <c r="A3" s="3" t="s">
        <v>2321</v>
      </c>
      <c r="B3" s="3"/>
      <c r="C3" s="3"/>
      <c r="D3" s="3"/>
      <c r="E3" s="3"/>
    </row>
    <row r="4" customFormat="false" ht="15" hidden="false" customHeight="false" outlineLevel="0" collapsed="false">
      <c r="A4" s="25" t="str">
        <f aca="false">"VERDICT: "&amp;IF('Quality &amp; Audit'!$B$58=0,"SHIPS","DRAFT — "&amp;'Quality &amp; Audit'!$B$58&amp;" open issue"&amp;IF('Quality &amp; Audit'!$B$58=1,"","s"))&amp;" · floor "&amp;IF(ISNUMBER('Quality &amp; Audit'!$B$57),IF('Quality &amp; Audit'!$B$57=INT('Quality &amp; Audit'!$B$57),TEXT('Quality &amp; Audit'!$B$57,"0"),TEXT('Quality &amp; Audit'!$B$57,"0.0")),"—")&amp;"/10 (min of every DETERMINISTIC section &amp; non-mirror tab — live cells on Quality &amp; Audit; the LLM self-audit is advisory and never floors; ships at ≥8 everywhere)"</f>
        <v>VERDICT: SHIPS · floor 8/10 (min of every DETERMINISTIC section &amp; non-mirror tab — live cells on Quality &amp; Audit; the LLM self-audit is advisory and never floors; ships at ≥8 everywhere)</v>
      </c>
      <c r="B4" s="25"/>
      <c r="C4" s="25"/>
      <c r="D4" s="25"/>
      <c r="E4" s="25"/>
    </row>
    <row r="6" customFormat="false" ht="18.55" hidden="false" customHeight="false" outlineLevel="0" collapsed="false">
      <c r="A6" s="108" t="s">
        <v>2322</v>
      </c>
      <c r="B6" s="109"/>
      <c r="C6" s="17" t="s">
        <v>2323</v>
      </c>
      <c r="D6" s="10" t="s">
        <v>2324</v>
      </c>
    </row>
    <row r="8" customFormat="false" ht="23.85" hidden="false" customHeight="false" outlineLevel="0" collapsed="false">
      <c r="A8" s="9" t="s">
        <v>2325</v>
      </c>
      <c r="B8" s="9" t="s">
        <v>2326</v>
      </c>
      <c r="C8" s="9" t="s">
        <v>2327</v>
      </c>
      <c r="D8" s="9" t="s">
        <v>2328</v>
      </c>
      <c r="E8" s="9" t="s">
        <v>2329</v>
      </c>
      <c r="F8" s="10" t="s">
        <v>20</v>
      </c>
    </row>
    <row r="9" customFormat="false" ht="32.8" hidden="false" customHeight="false" outlineLevel="0" collapsed="false">
      <c r="A9" s="17" t="s">
        <v>2330</v>
      </c>
      <c r="B9" s="27" t="s">
        <v>2331</v>
      </c>
      <c r="C9" s="110" t="str">
        <f aca="false">IF(ISNUMBER($B9),IF($B9&gt;=8,"PASS ✓","⛔ below 8"),"ADVISORY — non-gating")</f>
        <v>ADVISORY — non-gating</v>
      </c>
      <c r="D9" s="111" t="s">
        <v>2332</v>
      </c>
      <c r="E9" s="27"/>
      <c r="F9" s="16" t="str">
        <f aca="false">IF(AND(LEN(TRIM(A9&amp;""))&gt;0,TRIM(A9&amp;"")&lt;&gt;"—",LEN(TRIM(B9&amp;""))&gt;0,TRIM(B9&amp;"")&lt;&gt;"—",LEN(TRIM(C9&amp;""))&gt;0,TRIM(C9&amp;"")&lt;&gt;"—"),"PASS","⚠ FAIL — "&amp;"a required cell is empty/placeholder or wrong type")</f>
        <v>PASS</v>
      </c>
    </row>
    <row r="10" customFormat="false" ht="32.8" hidden="false" customHeight="false" outlineLevel="0" collapsed="false">
      <c r="A10" s="17" t="s">
        <v>2333</v>
      </c>
      <c r="B10" s="27" t="s">
        <v>2331</v>
      </c>
      <c r="C10" s="110" t="str">
        <f aca="false">IF(ISNUMBER($B10),IF($B10&gt;=8,"PASS ✓","⛔ below 8"),"ADVISORY — non-gating")</f>
        <v>ADVISORY — non-gating</v>
      </c>
      <c r="D10" s="111" t="s">
        <v>2334</v>
      </c>
      <c r="E10" s="27"/>
      <c r="F10" s="16" t="str">
        <f aca="false">IF(AND(LEN(TRIM(A10&amp;""))&gt;0,TRIM(A10&amp;"")&lt;&gt;"—",LEN(TRIM(B10&amp;""))&gt;0,TRIM(B10&amp;"")&lt;&gt;"—",LEN(TRIM(C10&amp;""))&gt;0,TRIM(C10&amp;"")&lt;&gt;"—"),"PASS","⚠ FAIL — "&amp;"a required cell is empty/placeholder or wrong type")</f>
        <v>PASS</v>
      </c>
    </row>
    <row r="11" customFormat="false" ht="32.8" hidden="false" customHeight="false" outlineLevel="0" collapsed="false">
      <c r="A11" s="17" t="s">
        <v>2335</v>
      </c>
      <c r="B11" s="27" t="s">
        <v>2331</v>
      </c>
      <c r="C11" s="110" t="str">
        <f aca="false">IF(ISNUMBER($B11),IF($B11&gt;=8,"PASS ✓","⛔ below 8"),"ADVISORY — non-gating")</f>
        <v>ADVISORY — non-gating</v>
      </c>
      <c r="D11" s="111" t="s">
        <v>2336</v>
      </c>
      <c r="E11" s="27" t="s">
        <v>2337</v>
      </c>
      <c r="F11" s="16" t="str">
        <f aca="false">IF(AND(LEN(TRIM(A11&amp;""))&gt;0,TRIM(A11&amp;"")&lt;&gt;"—",LEN(TRIM(B11&amp;""))&gt;0,TRIM(B11&amp;"")&lt;&gt;"—",LEN(TRIM(C11&amp;""))&gt;0,TRIM(C11&amp;"")&lt;&gt;"—"),"PASS","⚠ FAIL — "&amp;"a required cell is empty/placeholder or wrong type")</f>
        <v>PASS</v>
      </c>
    </row>
    <row r="12" customFormat="false" ht="32.8" hidden="false" customHeight="false" outlineLevel="0" collapsed="false">
      <c r="A12" s="17" t="s">
        <v>2338</v>
      </c>
      <c r="B12" s="27" t="s">
        <v>2331</v>
      </c>
      <c r="C12" s="110" t="str">
        <f aca="false">IF(ISNUMBER($B12),IF($B12&gt;=8,"PASS ✓","⛔ below 8"),"ADVISORY — non-gating")</f>
        <v>ADVISORY — non-gating</v>
      </c>
      <c r="D12" s="111" t="s">
        <v>2339</v>
      </c>
      <c r="E12" s="27"/>
      <c r="F12" s="16" t="str">
        <f aca="false">IF(AND(LEN(TRIM(A12&amp;""))&gt;0,TRIM(A12&amp;"")&lt;&gt;"—",LEN(TRIM(B12&amp;""))&gt;0,TRIM(B12&amp;"")&lt;&gt;"—",LEN(TRIM(C12&amp;""))&gt;0,TRIM(C12&amp;"")&lt;&gt;"—"),"PASS","⚠ FAIL — "&amp;"a required cell is empty/placeholder or wrong type")</f>
        <v>PASS</v>
      </c>
    </row>
    <row r="13" customFormat="false" ht="32.8" hidden="false" customHeight="false" outlineLevel="0" collapsed="false">
      <c r="A13" s="17" t="s">
        <v>2340</v>
      </c>
      <c r="B13" s="27" t="s">
        <v>2331</v>
      </c>
      <c r="C13" s="110" t="str">
        <f aca="false">IF(ISNUMBER($B13),IF($B13&gt;=8,"PASS ✓","⛔ below 8"),"ADVISORY — non-gating")</f>
        <v>ADVISORY — non-gating</v>
      </c>
      <c r="D13" s="111" t="s">
        <v>2334</v>
      </c>
      <c r="E13" s="27"/>
      <c r="F13" s="16" t="str">
        <f aca="false">IF(AND(LEN(TRIM(A13&amp;""))&gt;0,TRIM(A13&amp;"")&lt;&gt;"—",LEN(TRIM(B13&amp;""))&gt;0,TRIM(B13&amp;"")&lt;&gt;"—",LEN(TRIM(C13&amp;""))&gt;0,TRIM(C13&amp;"")&lt;&gt;"—"),"PASS","⚠ FAIL — "&amp;"a required cell is empty/placeholder or wrong type")</f>
        <v>PASS</v>
      </c>
    </row>
    <row r="14" customFormat="false" ht="32.8" hidden="false" customHeight="false" outlineLevel="0" collapsed="false">
      <c r="A14" s="17" t="s">
        <v>2341</v>
      </c>
      <c r="B14" s="27" t="s">
        <v>2331</v>
      </c>
      <c r="C14" s="110" t="str">
        <f aca="false">IF(ISNUMBER($B14),IF($B14&gt;=8,"PASS ✓","⛔ below 8"),"ADVISORY — non-gating")</f>
        <v>ADVISORY — non-gating</v>
      </c>
      <c r="D14" s="111" t="s">
        <v>2342</v>
      </c>
      <c r="E14" s="27" t="s">
        <v>2343</v>
      </c>
      <c r="F14" s="16" t="str">
        <f aca="false">IF(AND(LEN(TRIM(A14&amp;""))&gt;0,TRIM(A14&amp;"")&lt;&gt;"—",LEN(TRIM(B14&amp;""))&gt;0,TRIM(B14&amp;"")&lt;&gt;"—",LEN(TRIM(C14&amp;""))&gt;0,TRIM(C14&amp;"")&lt;&gt;"—"),"PASS","⚠ FAIL — "&amp;"a required cell is empty/placeholder or wrong type")</f>
        <v>PASS</v>
      </c>
    </row>
    <row r="16" customFormat="false" ht="15" hidden="false" customHeight="false" outlineLevel="0" collapsed="false">
      <c r="A16" s="8" t="s">
        <v>2344</v>
      </c>
      <c r="B16" s="8"/>
      <c r="C16" s="8"/>
      <c r="D16" s="8"/>
    </row>
    <row r="17" customFormat="false" ht="15" hidden="false" customHeight="false" outlineLevel="0" collapsed="false">
      <c r="A17" s="17" t="s">
        <v>2345</v>
      </c>
      <c r="B17" s="109" t="s">
        <v>2346</v>
      </c>
      <c r="D17" s="10" t="s">
        <v>2347</v>
      </c>
    </row>
    <row r="18" customFormat="false" ht="15" hidden="false" customHeight="false" outlineLevel="0" collapsed="false">
      <c r="A18" s="17" t="s">
        <v>2348</v>
      </c>
      <c r="B18" s="109" t="s">
        <v>2349</v>
      </c>
      <c r="D18" s="10"/>
    </row>
    <row r="19" customFormat="false" ht="15" hidden="false" customHeight="false" outlineLevel="0" collapsed="false">
      <c r="A19" s="17" t="s">
        <v>2350</v>
      </c>
      <c r="B19" s="109" t="s">
        <v>2351</v>
      </c>
      <c r="D19" s="10" t="s">
        <v>2347</v>
      </c>
    </row>
    <row r="20" customFormat="false" ht="15" hidden="false" customHeight="false" outlineLevel="0" collapsed="false">
      <c r="A20" s="17" t="s">
        <v>2352</v>
      </c>
      <c r="B20" s="112" t="s">
        <v>2353</v>
      </c>
      <c r="D20" s="10" t="s">
        <v>2347</v>
      </c>
    </row>
    <row r="21" customFormat="false" ht="15" hidden="false" customHeight="false" outlineLevel="0" collapsed="false">
      <c r="A21" s="17" t="s">
        <v>2354</v>
      </c>
      <c r="B21" s="109" t="s">
        <v>2355</v>
      </c>
      <c r="D21" s="10" t="s">
        <v>2347</v>
      </c>
    </row>
    <row r="23" customFormat="false" ht="15" hidden="false" customHeight="false" outlineLevel="0" collapsed="false">
      <c r="A23" s="8" t="s">
        <v>2356</v>
      </c>
      <c r="B23" s="8"/>
      <c r="C23" s="8"/>
      <c r="D23" s="8"/>
      <c r="E23" s="8"/>
    </row>
    <row r="24" customFormat="false" ht="23.85" hidden="false" customHeight="false" outlineLevel="0" collapsed="false">
      <c r="A24" s="9" t="s">
        <v>83</v>
      </c>
      <c r="B24" s="9" t="s">
        <v>2177</v>
      </c>
      <c r="C24" s="9" t="s">
        <v>2327</v>
      </c>
      <c r="D24" s="9" t="s">
        <v>2357</v>
      </c>
      <c r="E24" s="9" t="s">
        <v>2358</v>
      </c>
      <c r="F24" s="67" t="s">
        <v>2359</v>
      </c>
      <c r="G24" s="67" t="s">
        <v>2360</v>
      </c>
      <c r="H24" s="67" t="s">
        <v>2361</v>
      </c>
      <c r="I24" s="67" t="s">
        <v>2362</v>
      </c>
      <c r="J24" s="67" t="s">
        <v>2363</v>
      </c>
      <c r="K24" s="67" t="s">
        <v>2364</v>
      </c>
      <c r="L24" s="67" t="s">
        <v>2365</v>
      </c>
      <c r="M24" s="67" t="s">
        <v>2366</v>
      </c>
      <c r="N24" s="67" t="s">
        <v>2367</v>
      </c>
      <c r="O24" s="67" t="s">
        <v>2368</v>
      </c>
      <c r="P24" s="67" t="s">
        <v>2369</v>
      </c>
      <c r="Q24" s="10" t="s">
        <v>20</v>
      </c>
    </row>
    <row r="25" customFormat="false" ht="67.15" hidden="false" customHeight="false" outlineLevel="0" collapsed="false">
      <c r="A25" s="17" t="s">
        <v>85</v>
      </c>
      <c r="B25" s="112" t="n">
        <f aca="false">ROUND(MIN('Quality &amp; Audit'!$B$57,$F25),1)</f>
        <v>8</v>
      </c>
      <c r="C25" s="0" t="str">
        <f aca="false">IF(ISNUMBER($B25),IF($B25&gt;=8,"PASS ✓","⛔ below 8"),"UNSCORED")</f>
        <v>PASS ✓</v>
      </c>
      <c r="D25" s="27" t="s">
        <v>2370</v>
      </c>
      <c r="E25" s="70" t="s">
        <v>2371</v>
      </c>
      <c r="F25" s="84" t="n">
        <v>10</v>
      </c>
      <c r="G25" s="84"/>
      <c r="H25" s="84"/>
      <c r="I25" s="84"/>
      <c r="J25" s="84"/>
      <c r="K25" s="84"/>
      <c r="L25" s="84"/>
      <c r="M25" s="84"/>
      <c r="N25" s="84"/>
      <c r="O25" s="84"/>
      <c r="P25" s="84"/>
      <c r="Q25" s="16" t="str">
        <f aca="false">IF(AND(LEN(TRIM(A25&amp;""))&gt;0,TRIM(A25&amp;"")&lt;&gt;"—",LEN(TRIM(C25&amp;""))&gt;0,TRIM(C25&amp;"")&lt;&gt;"—"),"PASS","⚠ FAIL — "&amp;"a required cell is empty/placeholder or wrong type")</f>
        <v>PASS</v>
      </c>
    </row>
    <row r="26" customFormat="false" ht="67.15" hidden="false" customHeight="false" outlineLevel="0" collapsed="false">
      <c r="A26" s="17" t="s">
        <v>121</v>
      </c>
      <c r="B26" s="112" t="n">
        <f aca="false">ROUND(MIN('Quality &amp; Audit'!$B$57,$F26),1)</f>
        <v>8</v>
      </c>
      <c r="C26" s="0" t="str">
        <f aca="false">IF(ISNUMBER($B26),IF($B26&gt;=8,"PASS ✓","⛔ below 8"),"UNSCORED")</f>
        <v>PASS ✓</v>
      </c>
      <c r="D26" s="27"/>
      <c r="E26" s="70" t="s">
        <v>2372</v>
      </c>
      <c r="F26" s="84" t="n">
        <v>10</v>
      </c>
      <c r="G26" s="84"/>
      <c r="H26" s="84"/>
      <c r="I26" s="84"/>
      <c r="J26" s="84"/>
      <c r="K26" s="84"/>
      <c r="L26" s="84"/>
      <c r="M26" s="84"/>
      <c r="N26" s="84"/>
      <c r="O26" s="84"/>
      <c r="P26" s="84"/>
      <c r="Q26" s="16" t="str">
        <f aca="false">IF(AND(LEN(TRIM(A26&amp;""))&gt;0,TRIM(A26&amp;"")&lt;&gt;"—",LEN(TRIM(C26&amp;""))&gt;0,TRIM(C26&amp;"")&lt;&gt;"—"),"PASS","⚠ FAIL — "&amp;"a required cell is empty/placeholder or wrong type")</f>
        <v>PASS</v>
      </c>
    </row>
    <row r="27" customFormat="false" ht="67.15" hidden="false" customHeight="false" outlineLevel="0" collapsed="false">
      <c r="A27" s="17" t="s">
        <v>87</v>
      </c>
      <c r="B27" s="112" t="n">
        <f aca="false">ROUND(MIN($F27,IF(AND(ISNUMBER($H27),$H27&gt;0),10*$G27/$H27,10),IF(AND(ISNUMBER($J27),$J27&gt;0),10*$I27/$J27,10),IF(AND(ISNUMBER($L27),$L27&gt;0),10*$K27/$L27,10)),1)</f>
        <v>10</v>
      </c>
      <c r="C27" s="0" t="str">
        <f aca="false">IF(ISNUMBER($B27),IF($B27&gt;=8,"PASS ✓","⛔ below 8"),"UNSCORED")</f>
        <v>PASS ✓</v>
      </c>
      <c r="D27" s="27"/>
      <c r="E27" s="70" t="s">
        <v>2373</v>
      </c>
      <c r="F27" s="84" t="n">
        <v>10</v>
      </c>
      <c r="G27" s="84" t="n">
        <v>10</v>
      </c>
      <c r="H27" s="84" t="n">
        <v>10</v>
      </c>
      <c r="I27" s="84" t="n">
        <v>1</v>
      </c>
      <c r="J27" s="84" t="n">
        <v>1</v>
      </c>
      <c r="K27" s="84" t="n">
        <v>51</v>
      </c>
      <c r="L27" s="84" t="n">
        <v>51</v>
      </c>
      <c r="M27" s="84"/>
      <c r="N27" s="84"/>
      <c r="O27" s="84"/>
      <c r="P27" s="84"/>
      <c r="Q27" s="16" t="str">
        <f aca="false">IF(AND(LEN(TRIM(A27&amp;""))&gt;0,TRIM(A27&amp;"")&lt;&gt;"—",LEN(TRIM(C27&amp;""))&gt;0,TRIM(C27&amp;"")&lt;&gt;"—"),"PASS","⚠ FAIL — "&amp;"a required cell is empty/placeholder or wrong type")</f>
        <v>PASS</v>
      </c>
    </row>
    <row r="28" customFormat="false" ht="67.15" hidden="false" customHeight="false" outlineLevel="0" collapsed="false">
      <c r="A28" s="17" t="s">
        <v>94</v>
      </c>
      <c r="B28" s="112" t="n">
        <f aca="false">ROUND(MIN($F28,IF(AND(ISNUMBER($H28),$H28&gt;0),10*$G28/$H28,10),IF(AND(ISNUMBER($J28),$J28&gt;0),10*$I28/$J28,10),IF(AND(ISNUMBER($L28),$L28&gt;0),10*$K28/$L28,10)),1)</f>
        <v>10</v>
      </c>
      <c r="C28" s="0" t="str">
        <f aca="false">IF(ISNUMBER($B28),IF($B28&gt;=8,"PASS ✓","⛔ below 8"),"UNSCORED")</f>
        <v>PASS ✓</v>
      </c>
      <c r="D28" s="27"/>
      <c r="E28" s="70" t="s">
        <v>2374</v>
      </c>
      <c r="F28" s="84" t="n">
        <v>10</v>
      </c>
      <c r="G28" s="84" t="n">
        <v>6</v>
      </c>
      <c r="H28" s="84" t="n">
        <v>6</v>
      </c>
      <c r="I28" s="84" t="n">
        <v>1</v>
      </c>
      <c r="J28" s="84" t="n">
        <v>1</v>
      </c>
      <c r="K28" s="84" t="n">
        <v>20</v>
      </c>
      <c r="L28" s="84" t="n">
        <v>20</v>
      </c>
      <c r="M28" s="84"/>
      <c r="N28" s="84"/>
      <c r="O28" s="84"/>
      <c r="P28" s="84"/>
      <c r="Q28" s="16" t="str">
        <f aca="false">IF(AND(LEN(TRIM(A28&amp;""))&gt;0,TRIM(A28&amp;"")&lt;&gt;"—",LEN(TRIM(C28&amp;""))&gt;0,TRIM(C28&amp;"")&lt;&gt;"—"),"PASS","⚠ FAIL — "&amp;"a required cell is empty/placeholder or wrong type")</f>
        <v>PASS</v>
      </c>
    </row>
    <row r="29" customFormat="false" ht="50.7" hidden="false" customHeight="false" outlineLevel="0" collapsed="false">
      <c r="A29" s="17" t="s">
        <v>128</v>
      </c>
      <c r="B29" s="112" t="n">
        <f aca="false">ROUND(MIN($F29,IF(AND(ISNUMBER($H29),$H29&gt;0),10*$G29/$H29,10),IF(AND(ISNUMBER($J29),$J29&gt;0),10*$I29/$J29,10)),1)</f>
        <v>10</v>
      </c>
      <c r="C29" s="0" t="str">
        <f aca="false">IF(ISNUMBER($B29),IF($B29&gt;=8,"PASS ✓","⛔ below 8"),"UNSCORED")</f>
        <v>PASS ✓</v>
      </c>
      <c r="D29" s="27"/>
      <c r="E29" s="70" t="s">
        <v>2375</v>
      </c>
      <c r="F29" s="84" t="n">
        <v>10</v>
      </c>
      <c r="G29" s="84" t="n">
        <v>113</v>
      </c>
      <c r="H29" s="84" t="n">
        <v>113</v>
      </c>
      <c r="I29" s="84" t="n">
        <v>339</v>
      </c>
      <c r="J29" s="84" t="n">
        <v>339</v>
      </c>
      <c r="K29" s="84"/>
      <c r="L29" s="84"/>
      <c r="M29" s="84"/>
      <c r="N29" s="84"/>
      <c r="O29" s="84"/>
      <c r="P29" s="84"/>
      <c r="Q29" s="16" t="str">
        <f aca="false">IF(AND(LEN(TRIM(A29&amp;""))&gt;0,TRIM(A29&amp;"")&lt;&gt;"—",LEN(TRIM(C29&amp;""))&gt;0,TRIM(C29&amp;"")&lt;&gt;"—"),"PASS","⚠ FAIL — "&amp;"a required cell is empty/placeholder or wrong type")</f>
        <v>PASS</v>
      </c>
    </row>
    <row r="30" customFormat="false" ht="67.15" hidden="false" customHeight="false" outlineLevel="0" collapsed="false">
      <c r="A30" s="17" t="s">
        <v>130</v>
      </c>
      <c r="B30" s="112" t="n">
        <f aca="false">ROUND(MIN($F30,IF(AND(ISNUMBER($H30),$H30&gt;0),10*$G30/$H30,10),IF(AND(ISNUMBER($J30),$J30&gt;0),10*$I30/$J30,10),IF(AND(ISNUMBER($L30),$L30&gt;0),10*$K30/$L30,10),IF(AND(ISNUMBER($N30),$N30&gt;0),10*$M30/$N30,10)),1)</f>
        <v>10</v>
      </c>
      <c r="C30" s="0" t="str">
        <f aca="false">IF(ISNUMBER($B30),IF($B30&gt;=8,"PASS ✓","⛔ below 8"),"UNSCORED")</f>
        <v>PASS ✓</v>
      </c>
      <c r="D30" s="27"/>
      <c r="E30" s="70" t="s">
        <v>2376</v>
      </c>
      <c r="F30" s="84" t="n">
        <v>10</v>
      </c>
      <c r="G30" s="84" t="n">
        <v>13</v>
      </c>
      <c r="H30" s="84" t="n">
        <v>13</v>
      </c>
      <c r="I30" s="84" t="n">
        <v>37</v>
      </c>
      <c r="J30" s="84" t="n">
        <v>37</v>
      </c>
      <c r="K30" s="84" t="n">
        <v>37</v>
      </c>
      <c r="L30" s="84" t="n">
        <v>37</v>
      </c>
      <c r="M30" s="84" t="n">
        <v>223</v>
      </c>
      <c r="N30" s="84" t="n">
        <v>223</v>
      </c>
      <c r="O30" s="84"/>
      <c r="P30" s="84"/>
      <c r="Q30" s="16" t="str">
        <f aca="false">IF(AND(LEN(TRIM(A30&amp;""))&gt;0,TRIM(A30&amp;"")&lt;&gt;"—",LEN(TRIM(C30&amp;""))&gt;0,TRIM(C30&amp;"")&lt;&gt;"—"),"PASS","⚠ FAIL — "&amp;"a required cell is empty/placeholder or wrong type")</f>
        <v>PASS</v>
      </c>
    </row>
    <row r="31" customFormat="false" ht="58.95" hidden="false" customHeight="false" outlineLevel="0" collapsed="false">
      <c r="A31" s="17" t="s">
        <v>93</v>
      </c>
      <c r="B31" s="112" t="n">
        <f aca="false">ROUND(MIN($F31,10*(COUNTIF('Bill of Materials (Ledger)'!$O$5:$O$418,"PASS"))/(COUNTA('Bill of Materials (Ledger)'!$O$5:$O$418)),IF(AND(ISNUMBER($H31),$H31&gt;0),10*$G31/$H31,10)),1)</f>
        <v>8</v>
      </c>
      <c r="C31" s="0" t="str">
        <f aca="false">IF(ISNUMBER($B31),IF($B31&gt;=8,"PASS ✓","⛔ below 8"),"UNSCORED")</f>
        <v>PASS ✓</v>
      </c>
      <c r="D31" s="27" t="s">
        <v>2377</v>
      </c>
      <c r="E31" s="70" t="s">
        <v>2378</v>
      </c>
      <c r="F31" s="84" t="n">
        <v>8</v>
      </c>
      <c r="G31" s="84" t="n">
        <v>3038</v>
      </c>
      <c r="H31" s="84" t="n">
        <v>3061</v>
      </c>
      <c r="I31" s="84"/>
      <c r="J31" s="84"/>
      <c r="K31" s="84"/>
      <c r="L31" s="84"/>
      <c r="M31" s="84"/>
      <c r="N31" s="84"/>
      <c r="O31" s="84"/>
      <c r="P31" s="84"/>
      <c r="Q31" s="16" t="str">
        <f aca="false">IF(AND(LEN(TRIM(A31&amp;""))&gt;0,TRIM(A31&amp;"")&lt;&gt;"—",LEN(TRIM(C31&amp;""))&gt;0,TRIM(C31&amp;"")&lt;&gt;"—"),"PASS","⚠ FAIL — "&amp;"a required cell is empty/placeholder or wrong type")</f>
        <v>PASS</v>
      </c>
    </row>
    <row r="32" customFormat="false" ht="58.95" hidden="false" customHeight="false" outlineLevel="0" collapsed="false">
      <c r="A32" s="17" t="s">
        <v>91</v>
      </c>
      <c r="B32" s="112" t="n">
        <f aca="false">ROUND(MIN($F32,IF(AND(ISNUMBER($H32),$H32&gt;0),10*$G32/$H32,10),IF(AND(ISNUMBER($J32),$J32&gt;0),10*$I32/$J32,10),IF(AND(ISNUMBER($L32),$L32&gt;0),10*$K32/$L32,10),IF(AND(ISNUMBER($N32),$N32&gt;0),10*$M32/$N32,10)),1)</f>
        <v>10</v>
      </c>
      <c r="C32" s="0" t="str">
        <f aca="false">IF(ISNUMBER($B32),IF($B32&gt;=8,"PASS ✓","⛔ below 8"),"UNSCORED")</f>
        <v>PASS ✓</v>
      </c>
      <c r="D32" s="27"/>
      <c r="E32" s="70" t="s">
        <v>2379</v>
      </c>
      <c r="F32" s="84" t="n">
        <v>10</v>
      </c>
      <c r="G32" s="84" t="n">
        <v>6</v>
      </c>
      <c r="H32" s="84" t="n">
        <v>6</v>
      </c>
      <c r="I32" s="84" t="n">
        <v>7</v>
      </c>
      <c r="J32" s="84" t="n">
        <v>7</v>
      </c>
      <c r="K32" s="84" t="n">
        <v>1</v>
      </c>
      <c r="L32" s="84" t="n">
        <v>1</v>
      </c>
      <c r="M32" s="84" t="n">
        <v>67</v>
      </c>
      <c r="N32" s="84" t="n">
        <v>67</v>
      </c>
      <c r="O32" s="84"/>
      <c r="P32" s="84"/>
      <c r="Q32" s="16" t="str">
        <f aca="false">IF(AND(LEN(TRIM(A32&amp;""))&gt;0,TRIM(A32&amp;"")&lt;&gt;"—",LEN(TRIM(C32&amp;""))&gt;0,TRIM(C32&amp;"")&lt;&gt;"—"),"PASS","⚠ FAIL — "&amp;"a required cell is empty/placeholder or wrong type")</f>
        <v>PASS</v>
      </c>
    </row>
    <row r="33" customFormat="false" ht="67.15" hidden="false" customHeight="false" outlineLevel="0" collapsed="false">
      <c r="A33" s="17" t="s">
        <v>92</v>
      </c>
      <c r="B33" s="112" t="n">
        <f aca="false">ROUND(MIN($F33,IF(AND(ISNUMBER($H33),$H33&gt;0),10*$G33/$H33,10),IF(AND(ISNUMBER($J33),$J33&gt;0),10*$I33/$J33,10)),1)</f>
        <v>8.7</v>
      </c>
      <c r="C33" s="0" t="str">
        <f aca="false">IF(ISNUMBER($B33),IF($B33&gt;=8,"PASS ✓","⛔ below 8"),"UNSCORED")</f>
        <v>PASS ✓</v>
      </c>
      <c r="D33" s="27" t="s">
        <v>2380</v>
      </c>
      <c r="E33" s="70" t="s">
        <v>2381</v>
      </c>
      <c r="F33" s="84" t="n">
        <v>10</v>
      </c>
      <c r="G33" s="84" t="n">
        <v>193</v>
      </c>
      <c r="H33" s="84" t="n">
        <v>223</v>
      </c>
      <c r="I33" s="84" t="n">
        <v>389</v>
      </c>
      <c r="J33" s="84" t="n">
        <v>389</v>
      </c>
      <c r="K33" s="84"/>
      <c r="L33" s="84"/>
      <c r="M33" s="84"/>
      <c r="N33" s="84"/>
      <c r="O33" s="84"/>
      <c r="P33" s="84"/>
      <c r="Q33" s="16" t="str">
        <f aca="false">IF(AND(LEN(TRIM(A33&amp;""))&gt;0,TRIM(A33&amp;"")&lt;&gt;"—",LEN(TRIM(C33&amp;""))&gt;0,TRIM(C33&amp;"")&lt;&gt;"—"),"PASS","⚠ FAIL — "&amp;"a required cell is empty/placeholder or wrong type")</f>
        <v>PASS</v>
      </c>
    </row>
    <row r="34" customFormat="false" ht="67.15" hidden="false" customHeight="false" outlineLevel="0" collapsed="false">
      <c r="A34" s="17" t="s">
        <v>127</v>
      </c>
      <c r="B34" s="112" t="n">
        <f aca="false">ROUND(MIN($F34,IF(AND(ISNUMBER($H34),$H34&gt;0),10*$G34/$H34,10),IF(AND(ISNUMBER($J34),$J34&gt;0),10*$I34/$J34,10)),1)</f>
        <v>10</v>
      </c>
      <c r="C34" s="0" t="str">
        <f aca="false">IF(ISNUMBER($B34),IF($B34&gt;=8,"PASS ✓","⛔ below 8"),"UNSCORED")</f>
        <v>PASS ✓</v>
      </c>
      <c r="D34" s="27"/>
      <c r="E34" s="70" t="s">
        <v>2382</v>
      </c>
      <c r="F34" s="84" t="n">
        <v>10</v>
      </c>
      <c r="G34" s="84" t="n">
        <v>48</v>
      </c>
      <c r="H34" s="84" t="n">
        <v>48</v>
      </c>
      <c r="I34" s="84" t="n">
        <v>106</v>
      </c>
      <c r="J34" s="84" t="n">
        <v>106</v>
      </c>
      <c r="K34" s="84"/>
      <c r="L34" s="84"/>
      <c r="M34" s="84"/>
      <c r="N34" s="84"/>
      <c r="O34" s="84"/>
      <c r="P34" s="84"/>
      <c r="Q34" s="16" t="str">
        <f aca="false">IF(AND(LEN(TRIM(A34&amp;""))&gt;0,TRIM(A34&amp;"")&lt;&gt;"—",LEN(TRIM(C34&amp;""))&gt;0,TRIM(C34&amp;"")&lt;&gt;"—"),"PASS","⚠ FAIL — "&amp;"a required cell is empty/placeholder or wrong type")</f>
        <v>PASS</v>
      </c>
    </row>
    <row r="35" customFormat="false" ht="58.95" hidden="false" customHeight="false" outlineLevel="0" collapsed="false">
      <c r="A35" s="17" t="s">
        <v>133</v>
      </c>
      <c r="B35" s="112" t="n">
        <f aca="false">ROUND(MIN($F35,IF(AND(ISNUMBER($H35),$H35&gt;0),10*$G35/$H35,10),IF(AND(ISNUMBER($J35),$J35&gt;0),10*$I35/$J35,10)),1)</f>
        <v>8</v>
      </c>
      <c r="C35" s="0" t="str">
        <f aca="false">IF(ISNUMBER($B35),IF($B35&gt;=8,"PASS ✓","⛔ below 8"),"UNSCORED")</f>
        <v>PASS ✓</v>
      </c>
      <c r="D35" s="27" t="s">
        <v>2383</v>
      </c>
      <c r="E35" s="70" t="s">
        <v>2384</v>
      </c>
      <c r="F35" s="84" t="n">
        <v>8</v>
      </c>
      <c r="G35" s="84" t="n">
        <v>107</v>
      </c>
      <c r="H35" s="84" t="n">
        <v>107</v>
      </c>
      <c r="I35" s="84" t="n">
        <v>391</v>
      </c>
      <c r="J35" s="84" t="n">
        <v>392</v>
      </c>
      <c r="K35" s="84"/>
      <c r="L35" s="84"/>
      <c r="M35" s="84"/>
      <c r="N35" s="84"/>
      <c r="O35" s="84"/>
      <c r="P35" s="84"/>
      <c r="Q35" s="16" t="str">
        <f aca="false">IF(AND(LEN(TRIM(A35&amp;""))&gt;0,TRIM(A35&amp;"")&lt;&gt;"—",LEN(TRIM(C35&amp;""))&gt;0,TRIM(C35&amp;"")&lt;&gt;"—"),"PASS","⚠ FAIL — "&amp;"a required cell is empty/placeholder or wrong type")</f>
        <v>PASS</v>
      </c>
    </row>
    <row r="36" customFormat="false" ht="58.95" hidden="false" customHeight="false" outlineLevel="0" collapsed="false">
      <c r="A36" s="17" t="s">
        <v>116</v>
      </c>
      <c r="B36" s="112" t="n">
        <f aca="false">ROUND(MIN($F36,10*(COUNTIF('Risk &amp; Regulatory'!$M$6:$M$15,"PASS"))/(COUNTA('Risk &amp; Regulatory'!$M$6:$M$15)),IF(AND(ISNUMBER($H36),$H36&gt;0),10*$G36/$H36,10)),1)</f>
        <v>10</v>
      </c>
      <c r="C36" s="0" t="str">
        <f aca="false">IF(ISNUMBER($B36),IF($B36&gt;=8,"PASS ✓","⛔ below 8"),"UNSCORED")</f>
        <v>PASS ✓</v>
      </c>
      <c r="D36" s="27"/>
      <c r="E36" s="70" t="s">
        <v>2385</v>
      </c>
      <c r="F36" s="84" t="n">
        <v>10</v>
      </c>
      <c r="G36" s="84" t="n">
        <v>184</v>
      </c>
      <c r="H36" s="84" t="n">
        <v>184</v>
      </c>
      <c r="I36" s="84"/>
      <c r="J36" s="84"/>
      <c r="K36" s="84"/>
      <c r="L36" s="84"/>
      <c r="M36" s="84"/>
      <c r="N36" s="84"/>
      <c r="O36" s="84"/>
      <c r="P36" s="84"/>
      <c r="Q36" s="16" t="str">
        <f aca="false">IF(AND(LEN(TRIM(A36&amp;""))&gt;0,TRIM(A36&amp;"")&lt;&gt;"—",LEN(TRIM(C36&amp;""))&gt;0,TRIM(C36&amp;"")&lt;&gt;"—"),"PASS","⚠ FAIL — "&amp;"a required cell is empty/placeholder or wrong type")</f>
        <v>PASS</v>
      </c>
    </row>
    <row r="37" customFormat="false" ht="50.7" hidden="false" customHeight="false" outlineLevel="0" collapsed="false">
      <c r="A37" s="17" t="s">
        <v>114</v>
      </c>
      <c r="B37" s="112" t="n">
        <f aca="false">ROUND(MIN($F37,IF(AND(ISNUMBER($H37),$H37&gt;0),10*$G37/$H37,10)),1)</f>
        <v>8</v>
      </c>
      <c r="C37" s="0" t="str">
        <f aca="false">IF(ISNUMBER($B37),IF($B37&gt;=8,"PASS ✓","⛔ below 8"),"UNSCORED")</f>
        <v>PASS ✓</v>
      </c>
      <c r="D37" s="27" t="s">
        <v>2386</v>
      </c>
      <c r="E37" s="70" t="s">
        <v>2387</v>
      </c>
      <c r="F37" s="84" t="n">
        <v>8</v>
      </c>
      <c r="G37" s="84" t="n">
        <v>52</v>
      </c>
      <c r="H37" s="84" t="n">
        <v>52</v>
      </c>
      <c r="I37" s="84"/>
      <c r="J37" s="84"/>
      <c r="K37" s="84"/>
      <c r="L37" s="84"/>
      <c r="M37" s="84"/>
      <c r="N37" s="84"/>
      <c r="O37" s="84"/>
      <c r="P37" s="84"/>
      <c r="Q37" s="16" t="str">
        <f aca="false">IF(AND(LEN(TRIM(A37&amp;""))&gt;0,TRIM(A37&amp;"")&lt;&gt;"—",LEN(TRIM(C37&amp;""))&gt;0,TRIM(C37&amp;"")&lt;&gt;"—"),"PASS","⚠ FAIL — "&amp;"a required cell is empty/placeholder or wrong type")</f>
        <v>PASS</v>
      </c>
    </row>
    <row r="38" customFormat="false" ht="58.95" hidden="false" customHeight="false" outlineLevel="0" collapsed="false">
      <c r="A38" s="17" t="s">
        <v>104</v>
      </c>
      <c r="B38" s="112" t="n">
        <f aca="false">ROUND(MIN($F38,IF(AND(ISNUMBER($H38),$H38&gt;0),10*$G38/$H38,10)),1)</f>
        <v>8</v>
      </c>
      <c r="C38" s="0" t="str">
        <f aca="false">IF(ISNUMBER($B38),IF($B38&gt;=8,"PASS ✓","⛔ below 8"),"UNSCORED")</f>
        <v>PASS ✓</v>
      </c>
      <c r="D38" s="27" t="s">
        <v>2388</v>
      </c>
      <c r="E38" s="70" t="s">
        <v>2389</v>
      </c>
      <c r="F38" s="84" t="n">
        <v>8</v>
      </c>
      <c r="G38" s="84" t="n">
        <v>369</v>
      </c>
      <c r="H38" s="84" t="n">
        <v>454</v>
      </c>
      <c r="I38" s="84"/>
      <c r="J38" s="84"/>
      <c r="K38" s="84"/>
      <c r="L38" s="84"/>
      <c r="M38" s="84"/>
      <c r="N38" s="84"/>
      <c r="O38" s="84"/>
      <c r="P38" s="84"/>
      <c r="Q38" s="16" t="str">
        <f aca="false">IF(AND(LEN(TRIM(A38&amp;""))&gt;0,TRIM(A38&amp;"")&lt;&gt;"—",LEN(TRIM(C38&amp;""))&gt;0,TRIM(C38&amp;"")&lt;&gt;"—"),"PASS","⚠ FAIL — "&amp;"a required cell is empty/placeholder or wrong type")</f>
        <v>PASS</v>
      </c>
    </row>
    <row r="39" customFormat="false" ht="58.95" hidden="false" customHeight="false" outlineLevel="0" collapsed="false">
      <c r="A39" s="17" t="s">
        <v>112</v>
      </c>
      <c r="B39" s="112" t="n">
        <f aca="false">ROUND(MIN($F39,10*(COUNTIF('Line &amp; velocity'!$L$10:$L$57,"PASS")+COUNTIF('Line &amp; velocity'!$L$63:$L$88,"PASS"))/(COUNTA('Line &amp; velocity'!$L$10:$L$57)+COUNTA('Line &amp; velocity'!$L$63:$L$88)),IF(AND(ISNUMBER($H39),$H39&gt;0),10*$G39/$H39,10)),1)</f>
        <v>9.6</v>
      </c>
      <c r="C39" s="0" t="str">
        <f aca="false">IF(ISNUMBER($B39),IF($B39&gt;=8,"PASS ✓","⛔ below 8"),"UNSCORED")</f>
        <v>PASS ✓</v>
      </c>
      <c r="D39" s="27" t="s">
        <v>2390</v>
      </c>
      <c r="E39" s="70" t="s">
        <v>2391</v>
      </c>
      <c r="F39" s="84" t="n">
        <v>10</v>
      </c>
      <c r="G39" s="84" t="n">
        <v>518</v>
      </c>
      <c r="H39" s="84" t="n">
        <v>518</v>
      </c>
      <c r="I39" s="84"/>
      <c r="J39" s="84"/>
      <c r="K39" s="84"/>
      <c r="L39" s="84"/>
      <c r="M39" s="84"/>
      <c r="N39" s="84"/>
      <c r="O39" s="84"/>
      <c r="P39" s="84"/>
      <c r="Q39" s="16" t="str">
        <f aca="false">IF(AND(LEN(TRIM(A39&amp;""))&gt;0,TRIM(A39&amp;"")&lt;&gt;"—",LEN(TRIM(C39&amp;""))&gt;0,TRIM(C39&amp;"")&lt;&gt;"—"),"PASS","⚠ FAIL — "&amp;"a required cell is empty/placeholder or wrong type")</f>
        <v>PASS</v>
      </c>
    </row>
    <row r="40" customFormat="false" ht="58.95" hidden="false" customHeight="false" outlineLevel="0" collapsed="false">
      <c r="A40" s="17" t="s">
        <v>135</v>
      </c>
      <c r="B40" s="112" t="n">
        <f aca="false">ROUND(MIN($F40,IF(AND(ISNUMBER($H40),$H40&gt;0),10*$G40/$H40,10),IF(AND(ISNUMBER($J40),$J40&gt;0),10*$I40/$J40,10)),1)</f>
        <v>10</v>
      </c>
      <c r="C40" s="0" t="str">
        <f aca="false">IF(ISNUMBER($B40),IF($B40&gt;=8,"PASS ✓","⛔ below 8"),"UNSCORED")</f>
        <v>PASS ✓</v>
      </c>
      <c r="D40" s="27"/>
      <c r="E40" s="70" t="s">
        <v>2392</v>
      </c>
      <c r="F40" s="84" t="n">
        <v>10</v>
      </c>
      <c r="G40" s="84" t="n">
        <v>47</v>
      </c>
      <c r="H40" s="84" t="n">
        <v>47</v>
      </c>
      <c r="I40" s="84" t="n">
        <v>47</v>
      </c>
      <c r="J40" s="84" t="n">
        <v>47</v>
      </c>
      <c r="K40" s="84"/>
      <c r="L40" s="84"/>
      <c r="M40" s="84"/>
      <c r="N40" s="84"/>
      <c r="O40" s="84"/>
      <c r="P40" s="84"/>
      <c r="Q40" s="16" t="str">
        <f aca="false">IF(AND(LEN(TRIM(A40&amp;""))&gt;0,TRIM(A40&amp;"")&lt;&gt;"—",LEN(TRIM(C40&amp;""))&gt;0,TRIM(C40&amp;"")&lt;&gt;"—"),"PASS","⚠ FAIL — "&amp;"a required cell is empty/placeholder or wrong type")</f>
        <v>PASS</v>
      </c>
    </row>
    <row r="41" customFormat="false" ht="58.95" hidden="false" customHeight="false" outlineLevel="0" collapsed="false">
      <c r="A41" s="17" t="s">
        <v>110</v>
      </c>
      <c r="B41" s="112" t="n">
        <f aca="false">ROUND(MIN($F41,10*(COUNTIF(Electrical!$K$62:$K$79,"PASS")+COUNTIF(Electrical!$K$94:$K$95,"PASS")+COUNTIF(Electrical!$J$99:$J$103,"PASS"))/(COUNTA(Electrical!$K$62:$K$79)+COUNTA(Electrical!$K$94:$K$95)+COUNTA(Electrical!$J$99:$J$103)),IF(AND(ISNUMBER($H41),$H41&gt;0),10*$G41/$H41,10)),1)</f>
        <v>9.6</v>
      </c>
      <c r="C41" s="0" t="str">
        <f aca="false">IF(ISNUMBER($B41),IF($B41&gt;=8,"PASS ✓","⛔ below 8"),"UNSCORED")</f>
        <v>PASS ✓</v>
      </c>
      <c r="D41" s="27" t="s">
        <v>2393</v>
      </c>
      <c r="E41" s="70" t="s">
        <v>2394</v>
      </c>
      <c r="F41" s="84" t="n">
        <v>10</v>
      </c>
      <c r="G41" s="84" t="n">
        <v>187</v>
      </c>
      <c r="H41" s="84" t="n">
        <v>187</v>
      </c>
      <c r="I41" s="84"/>
      <c r="J41" s="84"/>
      <c r="K41" s="84"/>
      <c r="L41" s="84"/>
      <c r="M41" s="84"/>
      <c r="N41" s="84"/>
      <c r="O41" s="84"/>
      <c r="P41" s="84"/>
      <c r="Q41" s="16" t="str">
        <f aca="false">IF(AND(LEN(TRIM(A41&amp;""))&gt;0,TRIM(A41&amp;"")&lt;&gt;"—",LEN(TRIM(C41&amp;""))&gt;0,TRIM(C41&amp;"")&lt;&gt;"—"),"PASS","⚠ FAIL — "&amp;"a required cell is empty/placeholder or wrong type")</f>
        <v>PASS</v>
      </c>
    </row>
    <row r="42" customFormat="false" ht="50.7" hidden="false" customHeight="false" outlineLevel="0" collapsed="false">
      <c r="A42" s="17" t="s">
        <v>96</v>
      </c>
      <c r="B42" s="112" t="n">
        <f aca="false">ROUND(MIN($F42,IF(AND(ISNUMBER($H42),$H42&gt;0),10*$G42/$H42,10)),1)</f>
        <v>8</v>
      </c>
      <c r="C42" s="0" t="str">
        <f aca="false">IF(ISNUMBER($B42),IF($B42&gt;=8,"PASS ✓","⛔ below 8"),"UNSCORED")</f>
        <v>PASS ✓</v>
      </c>
      <c r="D42" s="27" t="s">
        <v>2395</v>
      </c>
      <c r="E42" s="70" t="s">
        <v>2396</v>
      </c>
      <c r="F42" s="84" t="n">
        <v>8</v>
      </c>
      <c r="G42" s="84" t="n">
        <v>104</v>
      </c>
      <c r="H42" s="84" t="n">
        <v>104</v>
      </c>
      <c r="I42" s="84"/>
      <c r="J42" s="84"/>
      <c r="K42" s="84"/>
      <c r="L42" s="84"/>
      <c r="M42" s="84"/>
      <c r="N42" s="84"/>
      <c r="O42" s="84"/>
      <c r="P42" s="84"/>
      <c r="Q42" s="16" t="str">
        <f aca="false">IF(AND(LEN(TRIM(A42&amp;""))&gt;0,TRIM(A42&amp;"")&lt;&gt;"—",LEN(TRIM(C42&amp;""))&gt;0,TRIM(C42&amp;"")&lt;&gt;"—"),"PASS","⚠ FAIL — "&amp;"a required cell is empty/placeholder or wrong type")</f>
        <v>PASS</v>
      </c>
    </row>
    <row r="43" customFormat="false" ht="58.95" hidden="false" customHeight="false" outlineLevel="0" collapsed="false">
      <c r="A43" s="17" t="s">
        <v>117</v>
      </c>
      <c r="B43" s="112" t="n">
        <f aca="false">ROUND(MIN($F43,IF(AND(ISNUMBER($H43),$H43&gt;0),10*$G43/$H43,10),IF(AND(ISNUMBER($J43),$J43&gt;0),10*$I43/$J43,10)),1)</f>
        <v>8</v>
      </c>
      <c r="C43" s="0" t="str">
        <f aca="false">IF(ISNUMBER($B43),IF($B43&gt;=8,"PASS ✓","⛔ below 8"),"UNSCORED")</f>
        <v>PASS ✓</v>
      </c>
      <c r="D43" s="27" t="s">
        <v>2397</v>
      </c>
      <c r="E43" s="70" t="s">
        <v>2398</v>
      </c>
      <c r="F43" s="84" t="n">
        <v>8</v>
      </c>
      <c r="G43" s="84" t="n">
        <v>5</v>
      </c>
      <c r="H43" s="84" t="n">
        <v>5</v>
      </c>
      <c r="I43" s="84" t="n">
        <v>25</v>
      </c>
      <c r="J43" s="84" t="n">
        <v>25</v>
      </c>
      <c r="K43" s="84"/>
      <c r="L43" s="84"/>
      <c r="M43" s="84"/>
      <c r="N43" s="84"/>
      <c r="O43" s="84"/>
      <c r="P43" s="84"/>
      <c r="Q43" s="16" t="str">
        <f aca="false">IF(AND(LEN(TRIM(A43&amp;""))&gt;0,TRIM(A43&amp;"")&lt;&gt;"—",LEN(TRIM(C43&amp;""))&gt;0,TRIM(C43&amp;"")&lt;&gt;"—"),"PASS","⚠ FAIL — "&amp;"a required cell is empty/placeholder or wrong type")</f>
        <v>PASS</v>
      </c>
    </row>
    <row r="44" customFormat="false" ht="67.15" hidden="false" customHeight="false" outlineLevel="0" collapsed="false">
      <c r="A44" s="17" t="s">
        <v>119</v>
      </c>
      <c r="B44" s="112" t="n">
        <f aca="false">ROUND(MIN($F44,IF(AND(ISNUMBER($H44),$H44&gt;0),10*$G44/$H44,10),IF(AND(ISNUMBER($J44),$J44&gt;0),10*$I44/$J44,10)),1)</f>
        <v>10</v>
      </c>
      <c r="C44" s="0" t="str">
        <f aca="false">IF(ISNUMBER($B44),IF($B44&gt;=8,"PASS ✓","⛔ below 8"),"UNSCORED")</f>
        <v>PASS ✓</v>
      </c>
      <c r="D44" s="27" t="s">
        <v>2399</v>
      </c>
      <c r="E44" s="70" t="s">
        <v>2400</v>
      </c>
      <c r="F44" s="84" t="n">
        <v>10</v>
      </c>
      <c r="G44" s="84" t="n">
        <v>5</v>
      </c>
      <c r="H44" s="84" t="n">
        <v>5</v>
      </c>
      <c r="I44" s="84" t="n">
        <v>25</v>
      </c>
      <c r="J44" s="84" t="n">
        <v>25</v>
      </c>
      <c r="K44" s="84"/>
      <c r="L44" s="84"/>
      <c r="M44" s="84"/>
      <c r="N44" s="84"/>
      <c r="O44" s="84"/>
      <c r="P44" s="84"/>
      <c r="Q44" s="16" t="str">
        <f aca="false">IF(AND(LEN(TRIM(A44&amp;""))&gt;0,TRIM(A44&amp;"")&lt;&gt;"—",LEN(TRIM(C44&amp;""))&gt;0,TRIM(C44&amp;"")&lt;&gt;"—"),"PASS","⚠ FAIL — "&amp;"a required cell is empty/placeholder or wrong type")</f>
        <v>PASS</v>
      </c>
    </row>
    <row r="45" customFormat="false" ht="50.7" hidden="false" customHeight="false" outlineLevel="0" collapsed="false">
      <c r="A45" s="17" t="s">
        <v>125</v>
      </c>
      <c r="B45" s="112" t="n">
        <f aca="false">ROUND(MIN($F45,IF(AND(ISNUMBER($H45),$H45&gt;0),10*$G45/$H45,10),IF(AND(ISNUMBER($J45),$J45&gt;0),10*$I45/$J45,10)),1)</f>
        <v>10</v>
      </c>
      <c r="C45" s="0" t="str">
        <f aca="false">IF(ISNUMBER($B45),IF($B45&gt;=8,"PASS ✓","⛔ below 8"),"UNSCORED")</f>
        <v>PASS ✓</v>
      </c>
      <c r="D45" s="27" t="s">
        <v>2401</v>
      </c>
      <c r="E45" s="70" t="s">
        <v>2402</v>
      </c>
      <c r="F45" s="84" t="n">
        <v>10</v>
      </c>
      <c r="G45" s="84" t="n">
        <v>7</v>
      </c>
      <c r="H45" s="84" t="n">
        <v>7</v>
      </c>
      <c r="I45" s="84" t="n">
        <v>197</v>
      </c>
      <c r="J45" s="84" t="n">
        <v>197</v>
      </c>
      <c r="K45" s="84"/>
      <c r="L45" s="84"/>
      <c r="M45" s="84"/>
      <c r="N45" s="84"/>
      <c r="O45" s="84"/>
      <c r="P45" s="84"/>
      <c r="Q45" s="16" t="str">
        <f aca="false">IF(AND(LEN(TRIM(A45&amp;""))&gt;0,TRIM(A45&amp;"")&lt;&gt;"—",LEN(TRIM(C45&amp;""))&gt;0,TRIM(C45&amp;"")&lt;&gt;"—"),"PASS","⚠ FAIL — "&amp;"a required cell is empty/placeholder or wrong type")</f>
        <v>PASS</v>
      </c>
    </row>
    <row r="46" customFormat="false" ht="58.95" hidden="false" customHeight="false" outlineLevel="0" collapsed="false">
      <c r="A46" s="17" t="s">
        <v>89</v>
      </c>
      <c r="B46" s="112" t="n">
        <f aca="false">ROUND(MIN($F46,IF(AND(ISNUMBER($H46),$H46&gt;0),10*$G46/$H46,10)),1)</f>
        <v>9.7</v>
      </c>
      <c r="C46" s="0" t="str">
        <f aca="false">IF(ISNUMBER($B46),IF($B46&gt;=8,"PASS ✓","⛔ below 8"),"UNSCORED")</f>
        <v>PASS ✓</v>
      </c>
      <c r="D46" s="27" t="s">
        <v>2403</v>
      </c>
      <c r="E46" s="70" t="s">
        <v>2404</v>
      </c>
      <c r="F46" s="84" t="n">
        <v>10</v>
      </c>
      <c r="G46" s="84" t="n">
        <v>29</v>
      </c>
      <c r="H46" s="84" t="n">
        <v>30</v>
      </c>
      <c r="I46" s="84"/>
      <c r="J46" s="84"/>
      <c r="K46" s="84"/>
      <c r="L46" s="84"/>
      <c r="M46" s="84"/>
      <c r="N46" s="84"/>
      <c r="O46" s="84"/>
      <c r="P46" s="84"/>
      <c r="Q46" s="16" t="str">
        <f aca="false">IF(AND(LEN(TRIM(A46&amp;""))&gt;0,TRIM(A46&amp;"")&lt;&gt;"—",LEN(TRIM(C46&amp;""))&gt;0,TRIM(C46&amp;"")&lt;&gt;"—"),"PASS","⚠ FAIL — "&amp;"a required cell is empty/placeholder or wrong type")</f>
        <v>PASS</v>
      </c>
    </row>
    <row r="47" customFormat="false" ht="50.7" hidden="false" customHeight="false" outlineLevel="0" collapsed="false">
      <c r="A47" s="17" t="s">
        <v>106</v>
      </c>
      <c r="B47" s="112" t="n">
        <f aca="false">ROUND(MIN($F47,IF(AND(ISNUMBER($H47),$H47&gt;0),10*$G47/$H47,10)),1)</f>
        <v>9.7</v>
      </c>
      <c r="C47" s="0" t="str">
        <f aca="false">IF(ISNUMBER($B47),IF($B47&gt;=8,"PASS ✓","⛔ below 8"),"UNSCORED")</f>
        <v>PASS ✓</v>
      </c>
      <c r="D47" s="27" t="s">
        <v>2405</v>
      </c>
      <c r="E47" s="70" t="s">
        <v>2406</v>
      </c>
      <c r="F47" s="84" t="n">
        <v>10</v>
      </c>
      <c r="G47" s="84" t="n">
        <v>29</v>
      </c>
      <c r="H47" s="84" t="n">
        <v>30</v>
      </c>
      <c r="I47" s="84"/>
      <c r="J47" s="84"/>
      <c r="K47" s="84"/>
      <c r="L47" s="84"/>
      <c r="M47" s="84"/>
      <c r="N47" s="84"/>
      <c r="O47" s="84"/>
      <c r="P47" s="84"/>
      <c r="Q47" s="16" t="str">
        <f aca="false">IF(AND(LEN(TRIM(A47&amp;""))&gt;0,TRIM(A47&amp;"")&lt;&gt;"—",LEN(TRIM(C47&amp;""))&gt;0,TRIM(C47&amp;"")&lt;&gt;"—"),"PASS","⚠ FAIL — "&amp;"a required cell is empty/placeholder or wrong type")</f>
        <v>PASS</v>
      </c>
    </row>
    <row r="48" customFormat="false" ht="42.5" hidden="false" customHeight="false" outlineLevel="0" collapsed="false">
      <c r="A48" s="17" t="s">
        <v>102</v>
      </c>
      <c r="B48" s="112" t="n">
        <f aca="false">ROUND(MIN($F48,IF(AND(ISNUMBER($H48),$H48&gt;0),10*$G48/$H48,10)),1)</f>
        <v>9</v>
      </c>
      <c r="C48" s="0" t="str">
        <f aca="false">IF(ISNUMBER($B48),IF($B48&gt;=8,"PASS ✓","⛔ below 8"),"UNSCORED")</f>
        <v>PASS ✓</v>
      </c>
      <c r="D48" s="27" t="s">
        <v>2407</v>
      </c>
      <c r="E48" s="70" t="s">
        <v>2408</v>
      </c>
      <c r="F48" s="84" t="n">
        <v>9</v>
      </c>
      <c r="G48" s="84" t="n">
        <v>38</v>
      </c>
      <c r="H48" s="84" t="n">
        <v>42</v>
      </c>
      <c r="I48" s="84"/>
      <c r="J48" s="84"/>
      <c r="K48" s="84"/>
      <c r="L48" s="84"/>
      <c r="M48" s="84"/>
      <c r="N48" s="84"/>
      <c r="O48" s="84"/>
      <c r="P48" s="84"/>
      <c r="Q48" s="16" t="str">
        <f aca="false">IF(AND(LEN(TRIM(A48&amp;""))&gt;0,TRIM(A48&amp;"")&lt;&gt;"—",LEN(TRIM(C48&amp;""))&gt;0,TRIM(C48&amp;"")&lt;&gt;"—"),"PASS","⚠ FAIL — "&amp;"a required cell is empty/placeholder or wrong type")</f>
        <v>PASS</v>
      </c>
    </row>
    <row r="49" customFormat="false" ht="42.5" hidden="false" customHeight="false" outlineLevel="0" collapsed="false">
      <c r="A49" s="17" t="s">
        <v>100</v>
      </c>
      <c r="B49" s="112" t="n">
        <f aca="false">ROUND(MIN($F49,IF(AND(ISNUMBER($H49),$H49&gt;0),10*$G49/$H49,10)),1)</f>
        <v>8.9</v>
      </c>
      <c r="C49" s="0" t="str">
        <f aca="false">IF(ISNUMBER($B49),IF($B49&gt;=8,"PASS ✓","⛔ below 8"),"UNSCORED")</f>
        <v>PASS ✓</v>
      </c>
      <c r="D49" s="27" t="s">
        <v>2409</v>
      </c>
      <c r="E49" s="70" t="s">
        <v>2410</v>
      </c>
      <c r="F49" s="84" t="n">
        <v>10</v>
      </c>
      <c r="G49" s="84" t="n">
        <v>16</v>
      </c>
      <c r="H49" s="84" t="n">
        <v>18</v>
      </c>
      <c r="I49" s="84"/>
      <c r="J49" s="84"/>
      <c r="K49" s="84"/>
      <c r="L49" s="84"/>
      <c r="M49" s="84"/>
      <c r="N49" s="84"/>
      <c r="O49" s="84"/>
      <c r="P49" s="84"/>
      <c r="Q49" s="16" t="str">
        <f aca="false">IF(AND(LEN(TRIM(A49&amp;""))&gt;0,TRIM(A49&amp;"")&lt;&gt;"—",LEN(TRIM(C49&amp;""))&gt;0,TRIM(C49&amp;"")&lt;&gt;"—"),"PASS","⚠ FAIL — "&amp;"a required cell is empty/placeholder or wrong type")</f>
        <v>PASS</v>
      </c>
    </row>
    <row r="50" customFormat="false" ht="34.3" hidden="false" customHeight="false" outlineLevel="0" collapsed="false">
      <c r="A50" s="17" t="s">
        <v>108</v>
      </c>
      <c r="B50" s="112" t="n">
        <f aca="false">ROUND(MIN($F50),1)</f>
        <v>8</v>
      </c>
      <c r="C50" s="0" t="str">
        <f aca="false">IF(ISNUMBER($B50),IF($B50&gt;=8,"PASS ✓","⛔ below 8"),"UNSCORED")</f>
        <v>PASS ✓</v>
      </c>
      <c r="D50" s="27" t="s">
        <v>2411</v>
      </c>
      <c r="E50" s="70" t="s">
        <v>2412</v>
      </c>
      <c r="F50" s="84" t="n">
        <v>8</v>
      </c>
      <c r="G50" s="84"/>
      <c r="H50" s="84"/>
      <c r="I50" s="84"/>
      <c r="J50" s="84"/>
      <c r="K50" s="84"/>
      <c r="L50" s="84"/>
      <c r="M50" s="84"/>
      <c r="N50" s="84"/>
      <c r="O50" s="84"/>
      <c r="P50" s="84"/>
      <c r="Q50" s="16" t="str">
        <f aca="false">IF(AND(LEN(TRIM(A50&amp;""))&gt;0,TRIM(A50&amp;"")&lt;&gt;"—",LEN(TRIM(C50&amp;""))&gt;0,TRIM(C50&amp;"")&lt;&gt;"—"),"PASS","⚠ FAIL — "&amp;"a required cell is empty/placeholder or wrong type")</f>
        <v>PASS</v>
      </c>
    </row>
    <row r="51" customFormat="false" ht="67.15" hidden="false" customHeight="false" outlineLevel="0" collapsed="false">
      <c r="A51" s="17" t="s">
        <v>98</v>
      </c>
      <c r="B51" s="112" t="n">
        <f aca="false">ROUND(MIN($F51,IF(AND(ISNUMBER($H51),$H51&gt;0),10*$G51/$H51,10),IF(AND(ISNUMBER($J51),$J51&gt;0),10*$I51/$J51,10),IF(AND(ISNUMBER($L51),$L51&gt;0),10*$K51/$L51,10)),1)</f>
        <v>8</v>
      </c>
      <c r="C51" s="0" t="str">
        <f aca="false">IF(ISNUMBER($B51),IF($B51&gt;=8,"PASS ✓","⛔ below 8"),"UNSCORED")</f>
        <v>PASS ✓</v>
      </c>
      <c r="D51" s="27" t="s">
        <v>2413</v>
      </c>
      <c r="E51" s="70" t="s">
        <v>2414</v>
      </c>
      <c r="F51" s="84" t="n">
        <v>10</v>
      </c>
      <c r="G51" s="84" t="n">
        <v>4</v>
      </c>
      <c r="H51" s="84" t="n">
        <v>5</v>
      </c>
      <c r="I51" s="84" t="n">
        <v>8</v>
      </c>
      <c r="J51" s="84" t="n">
        <v>8</v>
      </c>
      <c r="K51" s="84" t="n">
        <v>48</v>
      </c>
      <c r="L51" s="84" t="n">
        <v>49</v>
      </c>
      <c r="M51" s="84"/>
      <c r="N51" s="84"/>
      <c r="O51" s="84"/>
      <c r="P51" s="84"/>
      <c r="Q51" s="16" t="str">
        <f aca="false">IF(AND(LEN(TRIM(A51&amp;""))&gt;0,TRIM(A51&amp;"")&lt;&gt;"—",LEN(TRIM(C51&amp;""))&gt;0,TRIM(C51&amp;"")&lt;&gt;"—"),"PASS","⚠ FAIL — "&amp;"a required cell is empty/placeholder or wrong type")</f>
        <v>PASS</v>
      </c>
    </row>
    <row r="52" customFormat="false" ht="67.15" hidden="false" customHeight="false" outlineLevel="0" collapsed="false">
      <c r="A52" s="17" t="s">
        <v>123</v>
      </c>
      <c r="B52" s="112" t="n">
        <f aca="false">ROUND(MIN($F52,IF(AND(ISNUMBER($H52),$H52&gt;0),10*$G52/$H52,10),IF(AND(ISNUMBER($J52),$J52&gt;0),10*$I52/$J52,10),IF(AND(ISNUMBER($L52),$L52&gt;0),10*$K52/$L52,10)),1)</f>
        <v>10</v>
      </c>
      <c r="C52" s="0" t="str">
        <f aca="false">IF(ISNUMBER($B52),IF($B52&gt;=8,"PASS ✓","⛔ below 8"),"UNSCORED")</f>
        <v>PASS ✓</v>
      </c>
      <c r="D52" s="27"/>
      <c r="E52" s="70" t="s">
        <v>2415</v>
      </c>
      <c r="F52" s="84" t="n">
        <v>10</v>
      </c>
      <c r="G52" s="84" t="n">
        <v>6</v>
      </c>
      <c r="H52" s="84" t="n">
        <v>6</v>
      </c>
      <c r="I52" s="84" t="n">
        <v>1</v>
      </c>
      <c r="J52" s="84" t="n">
        <v>1</v>
      </c>
      <c r="K52" s="84" t="n">
        <v>47</v>
      </c>
      <c r="L52" s="84" t="n">
        <v>47</v>
      </c>
      <c r="M52" s="84"/>
      <c r="N52" s="84"/>
      <c r="O52" s="84"/>
      <c r="P52" s="84"/>
      <c r="Q52" s="16" t="str">
        <f aca="false">IF(AND(LEN(TRIM(A52&amp;""))&gt;0,TRIM(A52&amp;"")&lt;&gt;"—",LEN(TRIM(C52&amp;""))&gt;0,TRIM(C52&amp;"")&lt;&gt;"—"),"PASS","⚠ FAIL — "&amp;"a required cell is empty/placeholder or wrong type")</f>
        <v>PASS</v>
      </c>
    </row>
    <row r="53" customFormat="false" ht="58.95" hidden="false" customHeight="false" outlineLevel="0" collapsed="false">
      <c r="A53" s="17" t="s">
        <v>131</v>
      </c>
      <c r="B53" s="112" t="n">
        <f aca="false">ROUND(MIN($F53,IF(AND(ISNUMBER($H53),$H53&gt;0),10*$G53/$H53,10),IF(AND(ISNUMBER($J53),$J53&gt;0),10*$I53/$J53,10)),1)</f>
        <v>10</v>
      </c>
      <c r="C53" s="0" t="str">
        <f aca="false">IF(ISNUMBER($B53),IF($B53&gt;=8,"PASS ✓","⛔ below 8"),"UNSCORED")</f>
        <v>PASS ✓</v>
      </c>
      <c r="D53" s="27"/>
      <c r="E53" s="70" t="s">
        <v>2416</v>
      </c>
      <c r="F53" s="84" t="n">
        <v>10</v>
      </c>
      <c r="G53" s="84" t="n">
        <v>18</v>
      </c>
      <c r="H53" s="84" t="n">
        <v>18</v>
      </c>
      <c r="I53" s="84" t="n">
        <v>54</v>
      </c>
      <c r="J53" s="84" t="n">
        <v>54</v>
      </c>
      <c r="K53" s="84"/>
      <c r="L53" s="84"/>
      <c r="M53" s="84"/>
      <c r="N53" s="84"/>
      <c r="O53" s="84"/>
      <c r="P53" s="84"/>
      <c r="Q53" s="16" t="str">
        <f aca="false">IF(AND(LEN(TRIM(A53&amp;""))&gt;0,TRIM(A53&amp;"")&lt;&gt;"—",LEN(TRIM(C53&amp;""))&gt;0,TRIM(C53&amp;"")&lt;&gt;"—"),"PASS","⚠ FAIL — "&amp;"a required cell is empty/placeholder or wrong type")</f>
        <v>PASS</v>
      </c>
    </row>
    <row r="54" customFormat="false" ht="58.95" hidden="false" customHeight="false" outlineLevel="0" collapsed="false">
      <c r="A54" s="17" t="s">
        <v>137</v>
      </c>
      <c r="B54" s="112" t="n">
        <f aca="false">ROUND(MIN($F54,IF(AND(ISNUMBER($H54),$H54&gt;0),10*$G54/$H54,10)),1)</f>
        <v>10</v>
      </c>
      <c r="C54" s="0" t="str">
        <f aca="false">IF(ISNUMBER($B54),IF($B54&gt;=8,"PASS ✓","⛔ below 8"),"UNSCORED")</f>
        <v>PASS ✓</v>
      </c>
      <c r="D54" s="27"/>
      <c r="E54" s="70" t="s">
        <v>2417</v>
      </c>
      <c r="F54" s="84" t="n">
        <v>10</v>
      </c>
      <c r="G54" s="84" t="n">
        <v>100</v>
      </c>
      <c r="H54" s="84" t="n">
        <v>100</v>
      </c>
      <c r="I54" s="84"/>
      <c r="J54" s="84"/>
      <c r="K54" s="84"/>
      <c r="L54" s="84"/>
      <c r="M54" s="84"/>
      <c r="N54" s="84"/>
      <c r="O54" s="84"/>
      <c r="P54" s="84"/>
      <c r="Q54" s="16" t="str">
        <f aca="false">IF(AND(LEN(TRIM(A54&amp;""))&gt;0,TRIM(A54&amp;"")&lt;&gt;"—",LEN(TRIM(C54&amp;""))&gt;0,TRIM(C54&amp;"")&lt;&gt;"—"),"PASS","⚠ FAIL — "&amp;"a required cell is empty/placeholder or wrong type")</f>
        <v>PASS</v>
      </c>
    </row>
    <row r="55" customFormat="false" ht="50.7" hidden="false" customHeight="false" outlineLevel="0" collapsed="false">
      <c r="A55" s="17" t="s">
        <v>80</v>
      </c>
      <c r="B55" s="113" t="n">
        <f aca="false">ROUND(MIN($F55,IF(AND(ISNUMBER($H55),$H55&gt;0),10*$G55/$H55,10),IF(AND(ISNUMBER($J55),$J55&gt;0),10*$I55/$J55,10),IF(AND(ISNUMBER($L55),$L55&gt;0),10*$K55/$L55,10)),1)</f>
        <v>10</v>
      </c>
      <c r="C55" s="0" t="str">
        <f aca="false">IF(ISNUMBER($B55),IF($B55&gt;=8,"PASS ✓","⛔ below 8"),"UNSCORED")</f>
        <v>PASS ✓</v>
      </c>
      <c r="D55" s="27"/>
      <c r="E55" s="70" t="s">
        <v>2418</v>
      </c>
      <c r="F55" s="84" t="n">
        <v>10</v>
      </c>
      <c r="G55" s="84" t="n">
        <v>30</v>
      </c>
      <c r="H55" s="84" t="n">
        <v>30</v>
      </c>
      <c r="I55" s="84" t="n">
        <v>30</v>
      </c>
      <c r="J55" s="84" t="n">
        <v>30</v>
      </c>
      <c r="K55" s="84" t="n">
        <v>90</v>
      </c>
      <c r="L55" s="84" t="n">
        <v>90</v>
      </c>
      <c r="M55" s="84"/>
      <c r="N55" s="84"/>
      <c r="O55" s="84"/>
      <c r="P55" s="84"/>
      <c r="Q55" s="16" t="str">
        <f aca="false">IF(AND(LEN(TRIM(A55&amp;""))&gt;0,TRIM(A55&amp;"")&lt;&gt;"—",LEN(TRIM(C55&amp;""))&gt;0,TRIM(C55&amp;"")&lt;&gt;"—"),"PASS","⚠ FAIL — "&amp;"a required cell is empty/placeholder or wrong type")</f>
        <v>PASS</v>
      </c>
    </row>
    <row r="57" customFormat="false" ht="15" hidden="false" customHeight="false" outlineLevel="0" collapsed="false">
      <c r="A57" s="17" t="s">
        <v>2419</v>
      </c>
      <c r="B57" s="50" t="n">
        <f aca="false">IF(COUNT($B$27:$B$55)=0,"—",MIN($B$27:$B$55))</f>
        <v>8</v>
      </c>
    </row>
    <row r="58" customFormat="false" ht="15" hidden="false" customHeight="false" outlineLevel="0" collapsed="false">
      <c r="A58" s="17" t="s">
        <v>2420</v>
      </c>
      <c r="B58" s="50" t="n">
        <f aca="false">COUNTIF($B$27:$B$55,"&lt;8")+(COUNTA($B$27:$B$55)-COUNT($B$27:$B$55))</f>
        <v>0</v>
      </c>
    </row>
    <row r="60" customFormat="false" ht="21.75" hidden="false" customHeight="true" outlineLevel="0" collapsed="false">
      <c r="A60" s="1" t="s">
        <v>2421</v>
      </c>
      <c r="B60" s="1"/>
      <c r="C60" s="1"/>
      <c r="D60" s="1"/>
      <c r="E60" s="1"/>
    </row>
    <row r="61" customFormat="false" ht="15" hidden="false" customHeight="false" outlineLevel="0" collapsed="false">
      <c r="A61" s="22" t="s">
        <v>2422</v>
      </c>
      <c r="B61" s="22"/>
      <c r="C61" s="22"/>
      <c r="D61" s="22"/>
      <c r="E61" s="22"/>
    </row>
    <row r="63" customFormat="false" ht="19.5" hidden="false" customHeight="true" outlineLevel="0" collapsed="false">
      <c r="A63" s="1" t="s">
        <v>2423</v>
      </c>
      <c r="B63" s="1"/>
      <c r="C63" s="1"/>
      <c r="D63" s="1"/>
      <c r="E63" s="1"/>
    </row>
    <row r="64" customFormat="false" ht="15" hidden="false" customHeight="false" outlineLevel="0" collapsed="false">
      <c r="A64" s="9" t="s">
        <v>2424</v>
      </c>
      <c r="B64" s="9" t="s">
        <v>1888</v>
      </c>
      <c r="C64" s="9" t="s">
        <v>2425</v>
      </c>
      <c r="D64" s="9" t="s">
        <v>2426</v>
      </c>
      <c r="E64" s="9" t="s">
        <v>1388</v>
      </c>
      <c r="F64" s="10" t="s">
        <v>20</v>
      </c>
    </row>
    <row r="65" customFormat="false" ht="35.05" hidden="false" customHeight="false" outlineLevel="0" collapsed="false">
      <c r="A65" s="114" t="s">
        <v>2427</v>
      </c>
      <c r="B65" s="11" t="s">
        <v>2428</v>
      </c>
      <c r="C65" s="68" t="s">
        <v>2429</v>
      </c>
      <c r="D65" s="68" t="s">
        <v>2430</v>
      </c>
      <c r="E65" s="68" t="s">
        <v>2431</v>
      </c>
      <c r="F65" s="16" t="str">
        <f aca="false">IF(AND(LEN(TRIM(A65&amp;""))&gt;0,TRIM(A65&amp;"")&lt;&gt;"—",LEN(TRIM(B65&amp;""))&gt;0,TRIM(B65&amp;"")&lt;&gt;"—",LEN(TRIM(C65&amp;""))&gt;0,TRIM(C65&amp;"")&lt;&gt;"—"),"PASS","⚠ FAIL — "&amp;"a required cell is empty/placeholder or wrong type")</f>
        <v>PASS</v>
      </c>
    </row>
    <row r="67" customFormat="false" ht="19.5" hidden="false" customHeight="true" outlineLevel="0" collapsed="false">
      <c r="A67" s="1" t="s">
        <v>116</v>
      </c>
      <c r="B67" s="1"/>
      <c r="C67" s="1"/>
      <c r="D67" s="1"/>
      <c r="E67" s="1"/>
    </row>
    <row r="68" customFormat="false" ht="15" hidden="false" customHeight="false" outlineLevel="0" collapsed="false">
      <c r="A68" s="9" t="s">
        <v>2424</v>
      </c>
      <c r="B68" s="9" t="s">
        <v>1888</v>
      </c>
      <c r="C68" s="9" t="s">
        <v>2425</v>
      </c>
      <c r="D68" s="9" t="s">
        <v>2426</v>
      </c>
      <c r="E68" s="9" t="s">
        <v>1388</v>
      </c>
      <c r="F68" s="10" t="s">
        <v>20</v>
      </c>
    </row>
    <row r="69" customFormat="false" ht="46.25" hidden="false" customHeight="false" outlineLevel="0" collapsed="false">
      <c r="A69" s="115" t="s">
        <v>2432</v>
      </c>
      <c r="B69" s="11" t="s">
        <v>2433</v>
      </c>
      <c r="C69" s="68" t="s">
        <v>2434</v>
      </c>
      <c r="D69" s="68" t="s">
        <v>2435</v>
      </c>
      <c r="E69" s="68" t="s">
        <v>2436</v>
      </c>
      <c r="F69" s="16" t="str">
        <f aca="false">IF(AND(LEN(TRIM(A69&amp;""))&gt;0,TRIM(A69&amp;"")&lt;&gt;"—",LEN(TRIM(B69&amp;""))&gt;0,TRIM(B69&amp;"")&lt;&gt;"—",LEN(TRIM(C69&amp;""))&gt;0,TRIM(C69&amp;"")&lt;&gt;"—"),"PASS","⚠ FAIL — "&amp;"a required cell is empty/placeholder or wrong type")</f>
        <v>PASS</v>
      </c>
    </row>
    <row r="72" customFormat="false" ht="19.5" hidden="false" customHeight="true" outlineLevel="0" collapsed="false">
      <c r="A72" s="1" t="s">
        <v>2437</v>
      </c>
      <c r="B72" s="1"/>
      <c r="C72" s="1"/>
      <c r="D72" s="1"/>
      <c r="E72" s="1"/>
    </row>
    <row r="73" customFormat="false" ht="24" hidden="false" customHeight="true" outlineLevel="0" collapsed="false">
      <c r="A73" s="116" t="s">
        <v>2438</v>
      </c>
      <c r="B73" s="116"/>
      <c r="C73" s="116"/>
      <c r="D73" s="116"/>
      <c r="E73" s="116"/>
    </row>
    <row r="74" customFormat="false" ht="15" hidden="false" customHeight="false" outlineLevel="0" collapsed="false">
      <c r="A74" s="9" t="s">
        <v>2439</v>
      </c>
      <c r="B74" s="9" t="s">
        <v>2440</v>
      </c>
      <c r="C74" s="9" t="s">
        <v>2441</v>
      </c>
      <c r="D74" s="9" t="s">
        <v>2442</v>
      </c>
      <c r="E74" s="9" t="s">
        <v>2443</v>
      </c>
      <c r="F74" s="10" t="s">
        <v>20</v>
      </c>
    </row>
    <row r="75" customFormat="false" ht="23.85" hidden="false" customHeight="false" outlineLevel="0" collapsed="false">
      <c r="A75" s="11" t="s">
        <v>2444</v>
      </c>
      <c r="B75" s="68" t="s">
        <v>2445</v>
      </c>
      <c r="C75" s="68" t="s">
        <v>2446</v>
      </c>
      <c r="D75" s="11" t="s">
        <v>2447</v>
      </c>
      <c r="E75" s="69" t="str">
        <f aca="false">TRIM('Audit data'!$D$31&amp;IF(LEN(TRIM('Audit data'!$D$32&amp;""))&gt;0," — "&amp;'Audit data'!$D$32,""))</f>
        <v/>
      </c>
      <c r="F75" s="16" t="str">
        <f aca="false">IF(AND(LEN(TRIM(A75&amp;""))&gt;0,TRIM(A75&amp;"")&lt;&gt;"—",LEN(TRIM(E75&amp;""))&gt;0,TRIM(E75&amp;"")&lt;&gt;"—"),"PASS","⚠ FAIL — "&amp;"a required cell is empty/placeholder or wrong type")</f>
        <v>⚠ FAIL — a required cell is empty/placeholder or wrong type</v>
      </c>
    </row>
    <row r="76" customFormat="false" ht="15" hidden="false" customHeight="false" outlineLevel="0" collapsed="false">
      <c r="A76" s="11" t="s">
        <v>2448</v>
      </c>
      <c r="B76" s="68" t="s">
        <v>2449</v>
      </c>
      <c r="C76" s="68" t="s">
        <v>2450</v>
      </c>
      <c r="D76" s="11" t="s">
        <v>2451</v>
      </c>
      <c r="E76" s="71" t="str">
        <f aca="false">TRIM('Audit data'!$D$33&amp;IF(LEN(TRIM('Audit data'!$D$34&amp;""))&gt;0," — "&amp;'Audit data'!$D$34,""))</f>
        <v/>
      </c>
      <c r="F76" s="16" t="str">
        <f aca="false">IF(AND(LEN(TRIM(A76&amp;""))&gt;0,TRIM(A76&amp;"")&lt;&gt;"—",LEN(TRIM(E76&amp;""))&gt;0,TRIM(E76&amp;"")&lt;&gt;"—"),"PASS","⚠ FAIL — "&amp;"a required cell is empty/placeholder or wrong type")</f>
        <v>⚠ FAIL — a required cell is empty/placeholder or wrong type</v>
      </c>
    </row>
    <row r="77" customFormat="false" ht="15" hidden="false" customHeight="false" outlineLevel="0" collapsed="false">
      <c r="A77" s="11" t="s">
        <v>2452</v>
      </c>
      <c r="B77" s="68" t="s">
        <v>2453</v>
      </c>
      <c r="C77" s="68" t="s">
        <v>2454</v>
      </c>
      <c r="D77" s="11" t="s">
        <v>2455</v>
      </c>
      <c r="E77" s="69" t="str">
        <f aca="false">TRIM('Audit data'!$D$35&amp;IF(LEN(TRIM('Audit data'!$D$36&amp;""))&gt;0," — "&amp;'Audit data'!$D$36,""))</f>
        <v/>
      </c>
      <c r="F77" s="16" t="str">
        <f aca="false">IF(AND(LEN(TRIM(A77&amp;""))&gt;0,TRIM(A77&amp;"")&lt;&gt;"—",LEN(TRIM(E77&amp;""))&gt;0,TRIM(E77&amp;"")&lt;&gt;"—"),"PASS","⚠ FAIL — "&amp;"a required cell is empty/placeholder or wrong type")</f>
        <v>⚠ FAIL — a required cell is empty/placeholder or wrong type</v>
      </c>
    </row>
    <row r="78" customFormat="false" ht="15" hidden="false" customHeight="false" outlineLevel="0" collapsed="false">
      <c r="A78" s="11" t="s">
        <v>2456</v>
      </c>
      <c r="B78" s="68" t="s">
        <v>2457</v>
      </c>
      <c r="C78" s="68" t="s">
        <v>2458</v>
      </c>
      <c r="D78" s="11" t="s">
        <v>2455</v>
      </c>
      <c r="E78" s="69" t="str">
        <f aca="false">TRIM('Audit data'!$D$37&amp;IF(LEN(TRIM('Audit data'!$D$38&amp;""))&gt;0," — "&amp;'Audit data'!$D$38,""))</f>
        <v/>
      </c>
      <c r="F78" s="16" t="str">
        <f aca="false">IF(AND(LEN(TRIM(A78&amp;""))&gt;0,TRIM(A78&amp;"")&lt;&gt;"—",LEN(TRIM(E78&amp;""))&gt;0,TRIM(E78&amp;"")&lt;&gt;"—"),"PASS","⚠ FAIL — "&amp;"a required cell is empty/placeholder or wrong type")</f>
        <v>⚠ FAIL — a required cell is empty/placeholder or wrong type</v>
      </c>
    </row>
    <row r="79" customFormat="false" ht="15" hidden="false" customHeight="false" outlineLevel="0" collapsed="false">
      <c r="A79" s="11" t="s">
        <v>2459</v>
      </c>
      <c r="B79" s="68" t="s">
        <v>2460</v>
      </c>
      <c r="C79" s="68" t="s">
        <v>2461</v>
      </c>
      <c r="D79" s="11" t="s">
        <v>2455</v>
      </c>
      <c r="E79" s="69" t="str">
        <f aca="false">TRIM('Audit data'!$D$39&amp;IF(LEN(TRIM('Audit data'!$D$40&amp;""))&gt;0," — "&amp;'Audit data'!$D$40,""))</f>
        <v/>
      </c>
      <c r="F79" s="16" t="str">
        <f aca="false">IF(AND(LEN(TRIM(A79&amp;""))&gt;0,TRIM(A79&amp;"")&lt;&gt;"—",LEN(TRIM(E79&amp;""))&gt;0,TRIM(E79&amp;"")&lt;&gt;"—"),"PASS","⚠ FAIL — "&amp;"a required cell is empty/placeholder or wrong type")</f>
        <v>⚠ FAIL — a required cell is empty/placeholder or wrong type</v>
      </c>
    </row>
    <row r="80" customFormat="false" ht="15" hidden="false" customHeight="false" outlineLevel="0" collapsed="false">
      <c r="A80" s="11" t="s">
        <v>2462</v>
      </c>
      <c r="B80" s="68" t="s">
        <v>2463</v>
      </c>
      <c r="C80" s="68" t="s">
        <v>2464</v>
      </c>
      <c r="D80" s="11" t="s">
        <v>2455</v>
      </c>
      <c r="E80" s="69" t="str">
        <f aca="false">TRIM('Audit data'!$D$41&amp;IF(LEN(TRIM('Audit data'!$D$42&amp;""))&gt;0," — "&amp;'Audit data'!$D$42,""))</f>
        <v/>
      </c>
      <c r="F80" s="16" t="str">
        <f aca="false">IF(AND(LEN(TRIM(A80&amp;""))&gt;0,TRIM(A80&amp;"")&lt;&gt;"—",LEN(TRIM(E80&amp;""))&gt;0,TRIM(E80&amp;"")&lt;&gt;"—"),"PASS","⚠ FAIL — "&amp;"a required cell is empty/placeholder or wrong type")</f>
        <v>⚠ FAIL — a required cell is empty/placeholder or wrong type</v>
      </c>
    </row>
  </sheetData>
  <mergeCells count="12">
    <mergeCell ref="A1:E1"/>
    <mergeCell ref="A2:E2"/>
    <mergeCell ref="A3:E3"/>
    <mergeCell ref="A4:E4"/>
    <mergeCell ref="A16:D16"/>
    <mergeCell ref="A23:E23"/>
    <mergeCell ref="A60:E60"/>
    <mergeCell ref="A61:E61"/>
    <mergeCell ref="A63:E63"/>
    <mergeCell ref="A67:E67"/>
    <mergeCell ref="A72:E72"/>
    <mergeCell ref="A73:E73"/>
  </mergeCells>
  <hyperlinks>
    <hyperlink ref="F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55A11"/>
    <pageSetUpPr fitToPage="false"/>
  </sheetPr>
  <dimension ref="A1:F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2" min="1" style="0" width="30"/>
    <col collapsed="false" customWidth="true" hidden="false" outlineLevel="0" max="3" min="3" style="0" width="26"/>
    <col collapsed="false" customWidth="true" hidden="false" outlineLevel="0" max="4" min="4" style="0" width="18"/>
    <col collapsed="false" customWidth="true" hidden="false" outlineLevel="0" max="5" min="5" style="0" width="60"/>
  </cols>
  <sheetData>
    <row r="1" customFormat="false" ht="25.5" hidden="false" customHeight="true" outlineLevel="0" collapsed="false">
      <c r="A1" s="1" t="s">
        <v>2465</v>
      </c>
      <c r="B1" s="1"/>
      <c r="C1" s="1"/>
      <c r="D1" s="1"/>
      <c r="E1" s="1"/>
    </row>
    <row r="2" customFormat="false" ht="30" hidden="false" customHeight="true" outlineLevel="0" collapsed="false">
      <c r="A2" s="2" t="str">
        <f aca="false">"⬤ TAB QUALITY "&amp;IF(ISNUMBER('Quality &amp; Audit'!$B$52),IF('Quality &amp; Audit'!$B$52=INT('Quality &amp; Audit'!$B$52),TEXT('Quality &amp; Audit'!$B$52,"0"),TEXT('Quality &amp; Audit'!$B$52,"0.0")),"—")&amp;"/10 · "&amp;IF(ISNUMBER('Quality &amp; Audit'!$B$52),IF('Quality &amp; Audit'!$B$52&gt;=8,"PASS","FAIL"),"UNSCORED")&amp;" (target ≥8, live from the Quality &amp; Audit score cell)"&amp;" · generative benchmark sanity net (gate 36): independent top-down LLM expectation diffed against the bottom-up engine, per-dimension — benchmark dimensions within the expe…"&amp;" · full audit: Quality &amp; Audit tab"</f>
        <v>⬤ TAB QUALITY 10/10 · PASS (target ≥8, live from the Quality &amp; Audit score cell) · generative benchmark sanity net (gate 36): independent top-down LLM expectation diffed against the bottom-up engine, per-dimension — benchmark dimensions within the expe… · full audit: Quality &amp; Audit tab</v>
      </c>
      <c r="B2" s="2"/>
      <c r="C2" s="2"/>
      <c r="D2" s="2"/>
      <c r="E2" s="2"/>
    </row>
    <row r="3" customFormat="false" ht="40.5" hidden="false" customHeight="true" outlineLevel="0" collapsed="false">
      <c r="A3" s="3" t="s">
        <v>2466</v>
      </c>
      <c r="B3" s="3"/>
      <c r="C3" s="3"/>
      <c r="D3" s="3"/>
      <c r="E3" s="3"/>
    </row>
    <row r="4" customFormat="false" ht="18.55" hidden="false" customHeight="false" outlineLevel="0" collapsed="false">
      <c r="A4" s="108" t="s">
        <v>2467</v>
      </c>
      <c r="B4" s="109"/>
      <c r="E4" s="10" t="s">
        <v>2468</v>
      </c>
    </row>
    <row r="6" customFormat="false" ht="15" hidden="false" customHeight="false" outlineLevel="0" collapsed="false">
      <c r="A6" s="8" t="s">
        <v>2469</v>
      </c>
      <c r="B6" s="8"/>
      <c r="C6" s="8"/>
      <c r="D6" s="8"/>
      <c r="E6" s="8"/>
    </row>
    <row r="7" customFormat="false" ht="15" hidden="false" customHeight="false" outlineLevel="0" collapsed="false">
      <c r="A7" s="9"/>
      <c r="B7" s="9" t="s">
        <v>2440</v>
      </c>
      <c r="C7" s="9" t="s">
        <v>2441</v>
      </c>
      <c r="D7" s="9" t="s">
        <v>2442</v>
      </c>
      <c r="E7" s="9" t="s">
        <v>256</v>
      </c>
      <c r="F7" s="10" t="s">
        <v>20</v>
      </c>
    </row>
    <row r="8" customFormat="false" ht="32.8" hidden="false" customHeight="false" outlineLevel="0" collapsed="false">
      <c r="A8" s="17" t="s">
        <v>2470</v>
      </c>
      <c r="B8" s="0" t="s">
        <v>2471</v>
      </c>
      <c r="C8" s="0" t="s">
        <v>2472</v>
      </c>
      <c r="D8" s="112" t="s">
        <v>2473</v>
      </c>
      <c r="E8" s="27" t="s">
        <v>2474</v>
      </c>
      <c r="F8" s="16" t="str">
        <f aca="false">IF(AND(LEN(TRIM(E8&amp;""))&gt;0,TRIM(E8&amp;"")&lt;&gt;"—"),"PASS","⚠ FAIL — "&amp;"a required cell is empty/placeholder or wrong type")</f>
        <v>PASS</v>
      </c>
    </row>
    <row r="10" customFormat="false" ht="15" hidden="false" customHeight="false" outlineLevel="0" collapsed="false">
      <c r="A10" s="8" t="s">
        <v>2475</v>
      </c>
      <c r="B10" s="8"/>
      <c r="C10" s="8"/>
      <c r="D10" s="8"/>
      <c r="E10" s="8"/>
    </row>
    <row r="11" customFormat="false" ht="15" hidden="false" customHeight="false" outlineLevel="0" collapsed="false">
      <c r="A11" s="9" t="s">
        <v>2439</v>
      </c>
      <c r="B11" s="9" t="s">
        <v>2476</v>
      </c>
      <c r="C11" s="9" t="s">
        <v>2477</v>
      </c>
      <c r="D11" s="9" t="s">
        <v>2442</v>
      </c>
      <c r="E11" s="9" t="s">
        <v>2478</v>
      </c>
      <c r="F11" s="10" t="s">
        <v>20</v>
      </c>
    </row>
    <row r="12" customFormat="false" ht="35.05" hidden="false" customHeight="false" outlineLevel="0" collapsed="false">
      <c r="A12" s="17" t="s">
        <v>2444</v>
      </c>
      <c r="B12" s="76" t="s">
        <v>2445</v>
      </c>
      <c r="C12" s="76" t="s">
        <v>2446</v>
      </c>
      <c r="D12" s="0" t="s">
        <v>2473</v>
      </c>
      <c r="E12" s="112" t="str">
        <f aca="false">'Audit data'!$D$6</f>
        <v>ok</v>
      </c>
      <c r="F12" s="16" t="str">
        <f aca="false">IF(AND(LEN(TRIM(A12&amp;""))&gt;0,TRIM(A12&amp;"")&lt;&gt;"—",LEN(TRIM(E12&amp;""))&gt;0,TRIM(E12&amp;"")&lt;&gt;"—"),"PASS","⚠ FAIL — "&amp;"a required cell is empty/placeholder or wrong type")</f>
        <v>PASS</v>
      </c>
    </row>
    <row r="13" customFormat="false" ht="35.05" hidden="false" customHeight="false" outlineLevel="0" collapsed="false">
      <c r="A13" s="17" t="s">
        <v>2448</v>
      </c>
      <c r="B13" s="76" t="s">
        <v>2449</v>
      </c>
      <c r="C13" s="76" t="s">
        <v>2450</v>
      </c>
      <c r="D13" s="0" t="s">
        <v>2479</v>
      </c>
      <c r="E13" s="109" t="str">
        <f aca="false">'Audit data'!$D$7</f>
        <v>warn</v>
      </c>
      <c r="F13" s="16" t="str">
        <f aca="false">IF(AND(LEN(TRIM(A13&amp;""))&gt;0,TRIM(A13&amp;"")&lt;&gt;"—",LEN(TRIM(E13&amp;""))&gt;0,TRIM(E13&amp;"")&lt;&gt;"—"),"PASS","⚠ FAIL — "&amp;"a required cell is empty/placeholder or wrong type")</f>
        <v>PASS</v>
      </c>
    </row>
    <row r="14" customFormat="false" ht="35.05" hidden="false" customHeight="false" outlineLevel="0" collapsed="false">
      <c r="A14" s="17" t="s">
        <v>2452</v>
      </c>
      <c r="B14" s="76" t="s">
        <v>2453</v>
      </c>
      <c r="C14" s="76" t="s">
        <v>2454</v>
      </c>
      <c r="D14" s="0" t="s">
        <v>2473</v>
      </c>
      <c r="E14" s="112" t="str">
        <f aca="false">'Audit data'!$D$8</f>
        <v>ok</v>
      </c>
      <c r="F14" s="16" t="str">
        <f aca="false">IF(AND(LEN(TRIM(A14&amp;""))&gt;0,TRIM(A14&amp;"")&lt;&gt;"—",LEN(TRIM(E14&amp;""))&gt;0,TRIM(E14&amp;"")&lt;&gt;"—"),"PASS","⚠ FAIL — "&amp;"a required cell is empty/placeholder or wrong type")</f>
        <v>PASS</v>
      </c>
    </row>
    <row r="15" customFormat="false" ht="35.05" hidden="false" customHeight="false" outlineLevel="0" collapsed="false">
      <c r="A15" s="17" t="s">
        <v>2456</v>
      </c>
      <c r="B15" s="76" t="s">
        <v>2457</v>
      </c>
      <c r="C15" s="76" t="s">
        <v>2458</v>
      </c>
      <c r="D15" s="0" t="s">
        <v>2473</v>
      </c>
      <c r="E15" s="112" t="str">
        <f aca="false">'Audit data'!$D$9</f>
        <v>ok</v>
      </c>
      <c r="F15" s="16" t="str">
        <f aca="false">IF(AND(LEN(TRIM(A15&amp;""))&gt;0,TRIM(A15&amp;"")&lt;&gt;"—",LEN(TRIM(E15&amp;""))&gt;0,TRIM(E15&amp;"")&lt;&gt;"—"),"PASS","⚠ FAIL — "&amp;"a required cell is empty/placeholder or wrong type")</f>
        <v>PASS</v>
      </c>
    </row>
    <row r="16" customFormat="false" ht="35.05" hidden="false" customHeight="false" outlineLevel="0" collapsed="false">
      <c r="A16" s="17" t="s">
        <v>2459</v>
      </c>
      <c r="B16" s="76" t="s">
        <v>2460</v>
      </c>
      <c r="C16" s="76" t="s">
        <v>2461</v>
      </c>
      <c r="D16" s="0" t="s">
        <v>2473</v>
      </c>
      <c r="E16" s="112" t="str">
        <f aca="false">'Audit data'!$D$10</f>
        <v>ok</v>
      </c>
      <c r="F16" s="16" t="str">
        <f aca="false">IF(AND(LEN(TRIM(A16&amp;""))&gt;0,TRIM(A16&amp;"")&lt;&gt;"—",LEN(TRIM(E16&amp;""))&gt;0,TRIM(E16&amp;"")&lt;&gt;"—"),"PASS","⚠ FAIL — "&amp;"a required cell is empty/placeholder or wrong type")</f>
        <v>PASS</v>
      </c>
    </row>
    <row r="17" customFormat="false" ht="35.05" hidden="false" customHeight="false" outlineLevel="0" collapsed="false">
      <c r="A17" s="17" t="s">
        <v>2462</v>
      </c>
      <c r="B17" s="76" t="s">
        <v>2463</v>
      </c>
      <c r="C17" s="76" t="s">
        <v>2464</v>
      </c>
      <c r="D17" s="0" t="s">
        <v>2473</v>
      </c>
      <c r="E17" s="112" t="str">
        <f aca="false">'Audit data'!$D$11</f>
        <v>ok</v>
      </c>
      <c r="F17" s="16" t="str">
        <f aca="false">IF(AND(LEN(TRIM(A17&amp;""))&gt;0,TRIM(A17&amp;"")&lt;&gt;"—",LEN(TRIM(E17&amp;""))&gt;0,TRIM(E17&amp;"")&lt;&gt;"—"),"PASS","⚠ FAIL — "&amp;"a required cell is empty/placeholder or wrong type")</f>
        <v>PASS</v>
      </c>
    </row>
    <row r="19" customFormat="false" ht="15" hidden="false" customHeight="false" outlineLevel="0" collapsed="false">
      <c r="A19" s="8" t="s">
        <v>2480</v>
      </c>
      <c r="B19" s="8"/>
      <c r="C19" s="8"/>
      <c r="D19" s="8"/>
      <c r="E19" s="8"/>
    </row>
    <row r="20" customFormat="false" ht="15" hidden="false" customHeight="false" outlineLevel="0" collapsed="false">
      <c r="A20" s="9" t="s">
        <v>2481</v>
      </c>
      <c r="B20" s="9" t="s">
        <v>2482</v>
      </c>
      <c r="C20" s="9" t="s">
        <v>2483</v>
      </c>
      <c r="D20" s="9" t="s">
        <v>2484</v>
      </c>
      <c r="E20" s="9" t="s">
        <v>2485</v>
      </c>
      <c r="F20" s="10" t="s">
        <v>20</v>
      </c>
    </row>
    <row r="21" customFormat="false" ht="15" hidden="false" customHeight="false" outlineLevel="0" collapsed="false">
      <c r="A21" s="17" t="s">
        <v>2486</v>
      </c>
      <c r="B21" s="76" t="s">
        <v>2487</v>
      </c>
      <c r="C21" s="113" t="s">
        <v>2488</v>
      </c>
      <c r="D21" s="0" t="s">
        <v>2489</v>
      </c>
      <c r="E21" s="27" t="s">
        <v>2490</v>
      </c>
      <c r="F21" s="16" t="str">
        <f aca="false">IF(AND(LEN(TRIM(A21&amp;""))&gt;0,TRIM(A21&amp;"")&lt;&gt;"—",LEN(TRIM(B21&amp;""))&gt;0,TRIM(B21&amp;"")&lt;&gt;"—"),"PASS","⚠ FAIL — "&amp;"a required cell is empty/placeholder or wrong type")</f>
        <v>PASS</v>
      </c>
    </row>
    <row r="22" customFormat="false" ht="23.85" hidden="false" customHeight="false" outlineLevel="0" collapsed="false">
      <c r="A22" s="17" t="s">
        <v>2491</v>
      </c>
      <c r="B22" s="76" t="s">
        <v>2492</v>
      </c>
      <c r="C22" s="113" t="s">
        <v>2493</v>
      </c>
      <c r="D22" s="0" t="s">
        <v>2494</v>
      </c>
      <c r="E22" s="27" t="s">
        <v>2495</v>
      </c>
      <c r="F22" s="16" t="str">
        <f aca="false">IF(AND(LEN(TRIM(A22&amp;""))&gt;0,TRIM(A22&amp;"")&lt;&gt;"—",LEN(TRIM(B22&amp;""))&gt;0,TRIM(B22&amp;"")&lt;&gt;"—"),"PASS","⚠ FAIL — "&amp;"a required cell is empty/placeholder or wrong type")</f>
        <v>PASS</v>
      </c>
    </row>
    <row r="23" customFormat="false" ht="15" hidden="false" customHeight="false" outlineLevel="0" collapsed="false">
      <c r="A23" s="17" t="s">
        <v>2496</v>
      </c>
      <c r="B23" s="76" t="s">
        <v>2497</v>
      </c>
      <c r="C23" s="113" t="s">
        <v>2498</v>
      </c>
      <c r="D23" s="0" t="s">
        <v>2499</v>
      </c>
      <c r="E23" s="27" t="s">
        <v>2500</v>
      </c>
      <c r="F23" s="16" t="str">
        <f aca="false">IF(AND(LEN(TRIM(A23&amp;""))&gt;0,TRIM(A23&amp;"")&lt;&gt;"—",LEN(TRIM(B23&amp;""))&gt;0,TRIM(B23&amp;"")&lt;&gt;"—"),"PASS","⚠ FAIL — "&amp;"a required cell is empty/placeholder or wrong type")</f>
        <v>PASS</v>
      </c>
    </row>
    <row r="24" customFormat="false" ht="23.85" hidden="false" customHeight="false" outlineLevel="0" collapsed="false">
      <c r="A24" s="17" t="s">
        <v>2501</v>
      </c>
      <c r="B24" s="76" t="s">
        <v>2502</v>
      </c>
      <c r="C24" s="113" t="s">
        <v>2503</v>
      </c>
      <c r="D24" s="0" t="s">
        <v>2504</v>
      </c>
      <c r="E24" s="27" t="s">
        <v>2505</v>
      </c>
      <c r="F24" s="16" t="str">
        <f aca="false">IF(AND(LEN(TRIM(A24&amp;""))&gt;0,TRIM(A24&amp;"")&lt;&gt;"—",LEN(TRIM(B24&amp;""))&gt;0,TRIM(B24&amp;"")&lt;&gt;"—"),"PASS","⚠ FAIL — "&amp;"a required cell is empty/placeholder or wrong type")</f>
        <v>PASS</v>
      </c>
    </row>
    <row r="25" customFormat="false" ht="35.05" hidden="false" customHeight="false" outlineLevel="0" collapsed="false">
      <c r="A25" s="17" t="s">
        <v>2506</v>
      </c>
      <c r="B25" s="76" t="s">
        <v>2507</v>
      </c>
      <c r="C25" s="113" t="s">
        <v>2508</v>
      </c>
      <c r="D25" s="0" t="s">
        <v>2509</v>
      </c>
      <c r="E25" s="27" t="s">
        <v>2510</v>
      </c>
      <c r="F25" s="16" t="str">
        <f aca="false">IF(AND(LEN(TRIM(A25&amp;""))&gt;0,TRIM(A25&amp;"")&lt;&gt;"—",LEN(TRIM(B25&amp;""))&gt;0,TRIM(B25&amp;"")&lt;&gt;"—"),"PASS","⚠ FAIL — "&amp;"a required cell is empty/placeholder or wrong type")</f>
        <v>PASS</v>
      </c>
    </row>
    <row r="26" customFormat="false" ht="23.85" hidden="false" customHeight="false" outlineLevel="0" collapsed="false">
      <c r="A26" s="17" t="s">
        <v>2511</v>
      </c>
      <c r="B26" s="76" t="s">
        <v>2512</v>
      </c>
      <c r="C26" s="113" t="s">
        <v>2513</v>
      </c>
      <c r="D26" s="0" t="s">
        <v>2514</v>
      </c>
      <c r="E26" s="27" t="s">
        <v>2515</v>
      </c>
      <c r="F26" s="16" t="str">
        <f aca="false">IF(AND(LEN(TRIM(A26&amp;""))&gt;0,TRIM(A26&amp;"")&lt;&gt;"—",LEN(TRIM(B26&amp;""))&gt;0,TRIM(B26&amp;"")&lt;&gt;"—"),"PASS","⚠ FAIL — "&amp;"a required cell is empty/placeholder or wrong type")</f>
        <v>PASS</v>
      </c>
    </row>
    <row r="27" customFormat="false" ht="15" hidden="false" customHeight="false" outlineLevel="0" collapsed="false">
      <c r="A27" s="17" t="s">
        <v>2516</v>
      </c>
      <c r="B27" s="76" t="s">
        <v>2517</v>
      </c>
      <c r="C27" s="113" t="s">
        <v>2518</v>
      </c>
      <c r="D27" s="0" t="s">
        <v>2519</v>
      </c>
      <c r="E27" s="27" t="s">
        <v>2520</v>
      </c>
      <c r="F27" s="16" t="str">
        <f aca="false">IF(AND(LEN(TRIM(A27&amp;""))&gt;0,TRIM(A27&amp;"")&lt;&gt;"—",LEN(TRIM(B27&amp;""))&gt;0,TRIM(B27&amp;"")&lt;&gt;"—"),"PASS","⚠ FAIL — "&amp;"a required cell is empty/placeholder or wrong type")</f>
        <v>PASS</v>
      </c>
    </row>
    <row r="29" customFormat="false" ht="15" hidden="false" customHeight="false" outlineLevel="0" collapsed="false">
      <c r="A29" s="8" t="s">
        <v>2521</v>
      </c>
      <c r="B29" s="8"/>
      <c r="C29" s="8"/>
      <c r="D29" s="8"/>
      <c r="E29" s="8"/>
    </row>
    <row r="30" customFormat="false" ht="15" hidden="false" customHeight="false" outlineLevel="0" collapsed="false">
      <c r="A30" s="9" t="s">
        <v>2522</v>
      </c>
      <c r="B30" s="9" t="s">
        <v>2523</v>
      </c>
      <c r="C30" s="9" t="s">
        <v>19</v>
      </c>
      <c r="D30" s="9"/>
      <c r="E30" s="9"/>
      <c r="F30" s="10" t="s">
        <v>20</v>
      </c>
    </row>
    <row r="31" customFormat="false" ht="22.35" hidden="false" customHeight="false" outlineLevel="0" collapsed="false">
      <c r="A31" s="17" t="s">
        <v>2524</v>
      </c>
      <c r="B31" s="0" t="s">
        <v>2525</v>
      </c>
      <c r="C31" s="27" t="s">
        <v>2526</v>
      </c>
      <c r="F31" s="16" t="str">
        <f aca="false">IF(AND(LEN(TRIM(A31&amp;""))&gt;0,TRIM(A31&amp;"")&lt;&gt;"—",LEN(TRIM(B31&amp;""))&gt;0,TRIM(B31&amp;"")&lt;&gt;"—"),"PASS","⚠ FAIL — "&amp;"a required cell is empty/placeholder or wrong type")</f>
        <v>PASS</v>
      </c>
    </row>
    <row r="32" customFormat="false" ht="15" hidden="false" customHeight="false" outlineLevel="0" collapsed="false">
      <c r="A32" s="17" t="s">
        <v>2527</v>
      </c>
      <c r="B32" s="0" t="s">
        <v>2528</v>
      </c>
      <c r="C32" s="27" t="s">
        <v>2529</v>
      </c>
      <c r="F32" s="16" t="str">
        <f aca="false">IF(AND(LEN(TRIM(A32&amp;""))&gt;0,TRIM(A32&amp;"")&lt;&gt;"—",LEN(TRIM(B32&amp;""))&gt;0,TRIM(B32&amp;"")&lt;&gt;"—"),"PASS","⚠ FAIL — "&amp;"a required cell is empty/placeholder or wrong type")</f>
        <v>PASS</v>
      </c>
    </row>
    <row r="33" customFormat="false" ht="22.35" hidden="false" customHeight="false" outlineLevel="0" collapsed="false">
      <c r="A33" s="17" t="s">
        <v>2530</v>
      </c>
      <c r="B33" s="0" t="s">
        <v>2531</v>
      </c>
      <c r="C33" s="27" t="s">
        <v>2532</v>
      </c>
      <c r="F33" s="16" t="str">
        <f aca="false">IF(AND(LEN(TRIM(A33&amp;""))&gt;0,TRIM(A33&amp;"")&lt;&gt;"—",LEN(TRIM(B33&amp;""))&gt;0,TRIM(B33&amp;"")&lt;&gt;"—"),"PASS","⚠ FAIL — "&amp;"a required cell is empty/placeholder or wrong type")</f>
        <v>PASS</v>
      </c>
    </row>
    <row r="34" customFormat="false" ht="22.35" hidden="false" customHeight="false" outlineLevel="0" collapsed="false">
      <c r="A34" s="17" t="s">
        <v>2533</v>
      </c>
      <c r="B34" s="0" t="s">
        <v>2531</v>
      </c>
      <c r="C34" s="27" t="s">
        <v>2534</v>
      </c>
      <c r="F34" s="16" t="str">
        <f aca="false">IF(AND(LEN(TRIM(A34&amp;""))&gt;0,TRIM(A34&amp;"")&lt;&gt;"—",LEN(TRIM(B34&amp;""))&gt;0,TRIM(B34&amp;"")&lt;&gt;"—"),"PASS","⚠ FAIL — "&amp;"a required cell is empty/placeholder or wrong type")</f>
        <v>PASS</v>
      </c>
    </row>
    <row r="35" customFormat="false" ht="22.35" hidden="false" customHeight="false" outlineLevel="0" collapsed="false">
      <c r="A35" s="17" t="s">
        <v>2535</v>
      </c>
      <c r="B35" s="0" t="s">
        <v>2536</v>
      </c>
      <c r="C35" s="27" t="s">
        <v>2537</v>
      </c>
      <c r="F35" s="16" t="str">
        <f aca="false">IF(AND(LEN(TRIM(A35&amp;""))&gt;0,TRIM(A35&amp;"")&lt;&gt;"—",LEN(TRIM(B35&amp;""))&gt;0,TRIM(B35&amp;"")&lt;&gt;"—"),"PASS","⚠ FAIL — "&amp;"a required cell is empty/placeholder or wrong type")</f>
        <v>PASS</v>
      </c>
    </row>
    <row r="36" customFormat="false" ht="15" hidden="false" customHeight="false" outlineLevel="0" collapsed="false">
      <c r="A36" s="17" t="s">
        <v>2538</v>
      </c>
      <c r="B36" s="0" t="s">
        <v>2539</v>
      </c>
      <c r="C36" s="27" t="s">
        <v>2540</v>
      </c>
      <c r="F36" s="16" t="str">
        <f aca="false">IF(AND(LEN(TRIM(A36&amp;""))&gt;0,TRIM(A36&amp;"")&lt;&gt;"—",LEN(TRIM(B36&amp;""))&gt;0,TRIM(B36&amp;"")&lt;&gt;"—"),"PASS","⚠ FAIL — "&amp;"a required cell is empty/placeholder or wrong type")</f>
        <v>PASS</v>
      </c>
    </row>
    <row r="37" customFormat="false" ht="22.35" hidden="false" customHeight="false" outlineLevel="0" collapsed="false">
      <c r="A37" s="17" t="s">
        <v>2541</v>
      </c>
      <c r="B37" s="0" t="s">
        <v>2542</v>
      </c>
      <c r="C37" s="27" t="s">
        <v>2543</v>
      </c>
      <c r="F37" s="16" t="str">
        <f aca="false">IF(AND(LEN(TRIM(A37&amp;""))&gt;0,TRIM(A37&amp;"")&lt;&gt;"—",LEN(TRIM(B37&amp;""))&gt;0,TRIM(B37&amp;"")&lt;&gt;"—"),"PASS","⚠ FAIL — "&amp;"a required cell is empty/placeholder or wrong type")</f>
        <v>PASS</v>
      </c>
    </row>
    <row r="38" customFormat="false" ht="15" hidden="false" customHeight="false" outlineLevel="0" collapsed="false">
      <c r="A38" s="17" t="s">
        <v>2544</v>
      </c>
      <c r="B38" s="0" t="s">
        <v>2545</v>
      </c>
      <c r="C38" s="27" t="s">
        <v>2546</v>
      </c>
      <c r="F38" s="16" t="str">
        <f aca="false">IF(AND(LEN(TRIM(A38&amp;""))&gt;0,TRIM(A38&amp;"")&lt;&gt;"—",LEN(TRIM(B38&amp;""))&gt;0,TRIM(B38&amp;"")&lt;&gt;"—"),"PASS","⚠ FAIL — "&amp;"a required cell is empty/placeholder or wrong type")</f>
        <v>PASS</v>
      </c>
    </row>
    <row r="39" customFormat="false" ht="15" hidden="false" customHeight="false" outlineLevel="0" collapsed="false">
      <c r="A39" s="17" t="s">
        <v>2547</v>
      </c>
      <c r="B39" s="0" t="s">
        <v>2548</v>
      </c>
      <c r="C39" s="27" t="s">
        <v>2549</v>
      </c>
      <c r="F39" s="16" t="str">
        <f aca="false">IF(AND(LEN(TRIM(A39&amp;""))&gt;0,TRIM(A39&amp;"")&lt;&gt;"—",LEN(TRIM(B39&amp;""))&gt;0,TRIM(B39&amp;"")&lt;&gt;"—"),"PASS","⚠ FAIL — "&amp;"a required cell is empty/placeholder or wrong type")</f>
        <v>PASS</v>
      </c>
    </row>
    <row r="40" customFormat="false" ht="15" hidden="false" customHeight="false" outlineLevel="0" collapsed="false">
      <c r="A40" s="17" t="s">
        <v>2550</v>
      </c>
      <c r="B40" s="0" t="s">
        <v>2548</v>
      </c>
      <c r="C40" s="27" t="s">
        <v>2551</v>
      </c>
      <c r="F40" s="16" t="str">
        <f aca="false">IF(AND(LEN(TRIM(A40&amp;""))&gt;0,TRIM(A40&amp;"")&lt;&gt;"—",LEN(TRIM(B40&amp;""))&gt;0,TRIM(B40&amp;"")&lt;&gt;"—"),"PASS","⚠ FAIL — "&amp;"a required cell is empty/placeholder or wrong type")</f>
        <v>PASS</v>
      </c>
    </row>
    <row r="42" customFormat="false" ht="15" hidden="false" customHeight="false" outlineLevel="0" collapsed="false">
      <c r="A42" s="8" t="s">
        <v>2552</v>
      </c>
      <c r="B42" s="8"/>
      <c r="C42" s="8"/>
      <c r="D42" s="8"/>
      <c r="E42" s="8"/>
    </row>
    <row r="43" customFormat="false" ht="15" hidden="false" customHeight="true" outlineLevel="0" collapsed="false">
      <c r="A43" s="6" t="s">
        <v>2553</v>
      </c>
      <c r="B43" s="6"/>
      <c r="C43" s="6"/>
      <c r="D43" s="6"/>
      <c r="E43" s="6"/>
    </row>
    <row r="44" customFormat="false" ht="15" hidden="false" customHeight="false" outlineLevel="0" collapsed="false">
      <c r="A44" s="6"/>
      <c r="B44" s="6"/>
      <c r="C44" s="6"/>
      <c r="D44" s="6"/>
      <c r="E44" s="6"/>
    </row>
    <row r="45" customFormat="false" ht="15" hidden="false" customHeight="false" outlineLevel="0" collapsed="false">
      <c r="A45" s="6"/>
      <c r="B45" s="6"/>
      <c r="C45" s="6"/>
      <c r="D45" s="6"/>
      <c r="E45" s="6"/>
    </row>
    <row r="46" customFormat="false" ht="15" hidden="false" customHeight="false" outlineLevel="0" collapsed="false">
      <c r="A46" s="6"/>
      <c r="B46" s="6"/>
      <c r="C46" s="6"/>
      <c r="D46" s="6"/>
      <c r="E46" s="6"/>
    </row>
    <row r="47" customFormat="false" ht="15" hidden="false" customHeight="false" outlineLevel="0" collapsed="false">
      <c r="A47" s="6"/>
      <c r="B47" s="6"/>
      <c r="C47" s="6"/>
      <c r="D47" s="6"/>
      <c r="E47" s="6"/>
    </row>
  </sheetData>
  <mergeCells count="9">
    <mergeCell ref="A1:E1"/>
    <mergeCell ref="A2:E2"/>
    <mergeCell ref="A3:E3"/>
    <mergeCell ref="A6:E6"/>
    <mergeCell ref="A10:E10"/>
    <mergeCell ref="A19:E19"/>
    <mergeCell ref="A29:E29"/>
    <mergeCell ref="A42:E42"/>
    <mergeCell ref="A43:E4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55A11"/>
    <pageSetUpPr fitToPage="false"/>
  </sheetPr>
  <dimension ref="A1:T2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46"/>
    <col collapsed="false" customWidth="true" hidden="false" outlineLevel="0" max="3" min="2" style="0" width="16"/>
    <col collapsed="false" customWidth="true" hidden="false" outlineLevel="0" max="4" min="4" style="0" width="14"/>
    <col collapsed="false" customWidth="true" hidden="false" outlineLevel="0" max="5" min="5" style="0" width="10"/>
    <col collapsed="false" customWidth="true" hidden="false" outlineLevel="0" max="6" min="6" style="0" width="12"/>
    <col collapsed="false" customWidth="true" hidden="false" outlineLevel="0" max="7" min="7" style="0" width="52"/>
    <col collapsed="false" customWidth="true" hidden="false" outlineLevel="0" max="8" min="8" style="0" width="13"/>
  </cols>
  <sheetData>
    <row r="1" customFormat="false" ht="25.5" hidden="false" customHeight="true" outlineLevel="0" collapsed="false">
      <c r="A1" s="1" t="s">
        <v>2554</v>
      </c>
      <c r="B1" s="1"/>
      <c r="C1" s="1"/>
      <c r="D1" s="1"/>
      <c r="E1" s="1"/>
      <c r="F1" s="1"/>
      <c r="G1" s="1"/>
      <c r="H1" s="24" t="s">
        <v>140</v>
      </c>
    </row>
    <row r="2" customFormat="false" ht="30" hidden="false" customHeight="true" outlineLevel="0" collapsed="false">
      <c r="A2" s="2" t="str">
        <f aca="false">"⬤ TAB QUALITY "&amp;IF(ISNUMBER('Quality &amp; Audit'!$B$45),IF('Quality &amp; Audit'!$B$45=INT('Quality &amp; Audit'!$B$45),TEXT('Quality &amp; Audit'!$B$45,"0"),TEXT('Quality &amp; Audit'!$B$45,"0.0")),"—")&amp;"/10 · "&amp;IF(ISNUMBER('Quality &amp; Audit'!$B$45),IF('Quality &amp; Audit'!$B$45&gt;=8,"PASS","FAIL"),"UNSCORED")&amp;" (target ≥8, live from the Quality &amp; Audit score cell)"&amp;" · fail-count formula: 10 if 0 FAIL else max(0, 8 − 2 × fails) — deterministic invariants pass 7/7; cell completeness+type contract 197/197 · score = min over checks of 10 …"&amp;" · full audit: Quality &amp; Audit tab"</f>
        <v>⬤ TAB QUALITY 10/10 · PASS (target ≥8, live from the Quality &amp; Audit score cell) · fail-count formula: 10 if 0 FAIL else max(0, 8 − 2 × fails) — deterministic invariants pass 7/7; cell completeness+type contract 197/197 · score = min over checks of 10 … · full audit: Quality &amp; Audit tab</v>
      </c>
      <c r="B2" s="2"/>
      <c r="C2" s="2"/>
      <c r="D2" s="2"/>
      <c r="E2" s="2"/>
      <c r="F2" s="2"/>
      <c r="G2" s="2"/>
    </row>
    <row r="3" customFormat="false" ht="40.5" hidden="false" customHeight="true" outlineLevel="0" collapsed="false">
      <c r="A3" s="3" t="s">
        <v>2555</v>
      </c>
      <c r="B3" s="3"/>
      <c r="C3" s="3"/>
      <c r="D3" s="3"/>
      <c r="E3" s="3"/>
      <c r="F3" s="3"/>
      <c r="G3" s="3"/>
    </row>
    <row r="4" customFormat="false" ht="15" hidden="false" customHeight="false" outlineLevel="0" collapsed="false">
      <c r="A4" s="9" t="s">
        <v>1888</v>
      </c>
      <c r="B4" s="9" t="s">
        <v>2556</v>
      </c>
      <c r="C4" s="9" t="s">
        <v>2557</v>
      </c>
      <c r="D4" s="9" t="s">
        <v>2558</v>
      </c>
      <c r="E4" s="9" t="s">
        <v>2559</v>
      </c>
      <c r="F4" s="9" t="s">
        <v>9</v>
      </c>
      <c r="G4" s="9" t="s">
        <v>2560</v>
      </c>
      <c r="H4" s="10" t="s">
        <v>20</v>
      </c>
      <c r="J4" s="17" t="s">
        <v>2561</v>
      </c>
      <c r="P4" s="17" t="s">
        <v>2562</v>
      </c>
    </row>
    <row r="5" customFormat="false" ht="15" hidden="false" customHeight="false" outlineLevel="0" collapsed="false">
      <c r="A5" s="8" t="s">
        <v>2563</v>
      </c>
      <c r="B5" s="8"/>
      <c r="C5" s="8"/>
      <c r="D5" s="8"/>
      <c r="E5" s="8"/>
      <c r="F5" s="8"/>
      <c r="G5" s="8"/>
      <c r="P5" s="0" t="s">
        <v>2564</v>
      </c>
      <c r="Q5" s="109" t="n">
        <v>672</v>
      </c>
      <c r="R5" s="109" t="n">
        <v>672</v>
      </c>
      <c r="S5" s="109" t="n">
        <v>1</v>
      </c>
      <c r="T5" s="0" t="n">
        <f aca="false">IF(ABS($Q$5*$S$5-$R$5)&lt;3.36,0,1)</f>
        <v>0</v>
      </c>
    </row>
    <row r="6" customFormat="false" ht="32.8" hidden="false" customHeight="false" outlineLevel="0" collapsed="false">
      <c r="A6" s="68" t="s">
        <v>2565</v>
      </c>
      <c r="B6" s="11" t="n">
        <f aca="false">SUM($T$5:$T$194)</f>
        <v>0</v>
      </c>
      <c r="C6" s="11" t="n">
        <f aca="false">$L$6</f>
        <v>0</v>
      </c>
      <c r="D6" s="11" t="n">
        <f aca="false">B6-C6</f>
        <v>0</v>
      </c>
      <c r="E6" s="11" t="n">
        <v>0</v>
      </c>
      <c r="F6" s="117" t="str">
        <f aca="false">IF(B6&lt;=C6,"PASS","FAIL")</f>
        <v>PASS</v>
      </c>
      <c r="G6" s="15" t="s">
        <v>2566</v>
      </c>
      <c r="H6" s="16" t="str">
        <f aca="false">IF(AND(LEN(TRIM(A6&amp;""))&gt;0,TRIM(A6&amp;"")&lt;&gt;"—",LEN(TRIM(B6&amp;""))&gt;0,TRIM(B6&amp;"")&lt;&gt;"—",LEN(TRIM(C6&amp;""))&gt;0,TRIM(C6&amp;"")&lt;&gt;"—",LEN(TRIM(F6&amp;""))&gt;0,TRIM(F6&amp;"")&lt;&gt;"—"),"PASS","⚠ FAIL — "&amp;"a required cell is empty/placeholder or wrong type")</f>
        <v>PASS</v>
      </c>
      <c r="J6" s="0" t="s">
        <v>2565</v>
      </c>
      <c r="L6" s="109" t="n">
        <v>0</v>
      </c>
      <c r="P6" s="0" t="s">
        <v>2567</v>
      </c>
      <c r="Q6" s="109" t="n">
        <v>283</v>
      </c>
      <c r="R6" s="109" t="n">
        <v>283</v>
      </c>
      <c r="S6" s="109" t="n">
        <v>1</v>
      </c>
      <c r="T6" s="0" t="n">
        <f aca="false">IF(ABS($Q$6*$S$6-$R$6)&lt;1.415,0,1)</f>
        <v>0</v>
      </c>
    </row>
    <row r="7" customFormat="false" ht="32.8" hidden="false" customHeight="false" outlineLevel="0" collapsed="false">
      <c r="A7" s="68" t="s">
        <v>2568</v>
      </c>
      <c r="B7" s="11" t="n">
        <f aca="false">SUM($T$195:$T$211)</f>
        <v>0</v>
      </c>
      <c r="C7" s="11" t="n">
        <f aca="false">$L$7</f>
        <v>0</v>
      </c>
      <c r="D7" s="11" t="n">
        <f aca="false">B7-C7</f>
        <v>0</v>
      </c>
      <c r="E7" s="11" t="n">
        <v>0</v>
      </c>
      <c r="F7" s="117" t="str">
        <f aca="false">IF(B7&lt;=C7,"PASS","FAIL")</f>
        <v>PASS</v>
      </c>
      <c r="G7" s="15" t="s">
        <v>2569</v>
      </c>
      <c r="H7" s="16" t="str">
        <f aca="false">IF(AND(LEN(TRIM(A7&amp;""))&gt;0,TRIM(A7&amp;"")&lt;&gt;"—",LEN(TRIM(B7&amp;""))&gt;0,TRIM(B7&amp;"")&lt;&gt;"—",LEN(TRIM(C7&amp;""))&gt;0,TRIM(C7&amp;"")&lt;&gt;"—",LEN(TRIM(F7&amp;""))&gt;0,TRIM(F7&amp;"")&lt;&gt;"—"),"PASS","⚠ FAIL — "&amp;"a required cell is empty/placeholder or wrong type")</f>
        <v>PASS</v>
      </c>
      <c r="J7" s="0" t="s">
        <v>2568</v>
      </c>
      <c r="L7" s="109" t="n">
        <v>0</v>
      </c>
      <c r="P7" s="0" t="s">
        <v>2570</v>
      </c>
      <c r="Q7" s="109" t="n">
        <v>183</v>
      </c>
      <c r="R7" s="109" t="n">
        <v>183</v>
      </c>
      <c r="S7" s="109" t="n">
        <v>1</v>
      </c>
      <c r="T7" s="0" t="n">
        <f aca="false">IF(ABS($Q$7*$S$7-$R$7)&lt;1,0,1)</f>
        <v>0</v>
      </c>
    </row>
    <row r="8" customFormat="false" ht="23.85" hidden="false" customHeight="false" outlineLevel="0" collapsed="false">
      <c r="A8" s="68" t="s">
        <v>2571</v>
      </c>
      <c r="B8" s="11" t="n">
        <f aca="false">$K$8</f>
        <v>4</v>
      </c>
      <c r="C8" s="11" t="n">
        <f aca="false">$L$8</f>
        <v>4.1</v>
      </c>
      <c r="D8" s="11" t="n">
        <f aca="false">B8-C8</f>
        <v>-0.0999999999999996</v>
      </c>
      <c r="E8" s="11" t="n">
        <v>0.5</v>
      </c>
      <c r="F8" s="117" t="str">
        <f aca="false">IF(ABS(D8)&lt;E8,"PASS","FAIL")</f>
        <v>PASS</v>
      </c>
      <c r="G8" s="15" t="s">
        <v>2572</v>
      </c>
      <c r="H8" s="16" t="str">
        <f aca="false">IF(AND(LEN(TRIM(A8&amp;""))&gt;0,TRIM(A8&amp;"")&lt;&gt;"—",LEN(TRIM(B8&amp;""))&gt;0,TRIM(B8&amp;"")&lt;&gt;"—",LEN(TRIM(C8&amp;""))&gt;0,TRIM(C8&amp;"")&lt;&gt;"—",LEN(TRIM(F8&amp;""))&gt;0,TRIM(F8&amp;"")&lt;&gt;"—"),"PASS","⚠ FAIL — "&amp;"a required cell is empty/placeholder or wrong type")</f>
        <v>PASS</v>
      </c>
      <c r="J8" s="0" t="s">
        <v>2571</v>
      </c>
      <c r="K8" s="109" t="n">
        <v>4</v>
      </c>
      <c r="L8" s="109" t="n">
        <v>4.1</v>
      </c>
      <c r="P8" s="0" t="s">
        <v>2573</v>
      </c>
      <c r="Q8" s="109" t="n">
        <v>2</v>
      </c>
      <c r="R8" s="109" t="n">
        <v>2</v>
      </c>
      <c r="S8" s="109" t="n">
        <v>1</v>
      </c>
      <c r="T8" s="0" t="n">
        <f aca="false">IF(ABS($Q$8*$S$8-$R$8)&lt;1,0,1)</f>
        <v>0</v>
      </c>
    </row>
    <row r="9" customFormat="false" ht="23.85" hidden="false" customHeight="false" outlineLevel="0" collapsed="false">
      <c r="A9" s="68" t="s">
        <v>2574</v>
      </c>
      <c r="B9" s="11" t="n">
        <f aca="false">$K$9</f>
        <v>8</v>
      </c>
      <c r="C9" s="11" t="n">
        <f aca="false">$L$9</f>
        <v>7.5</v>
      </c>
      <c r="D9" s="11" t="n">
        <f aca="false">B9-C9</f>
        <v>0.5</v>
      </c>
      <c r="E9" s="11" t="n">
        <v>0.75</v>
      </c>
      <c r="F9" s="117" t="str">
        <f aca="false">IF(ABS(D9)&lt;E9,"PASS","FAIL")</f>
        <v>PASS</v>
      </c>
      <c r="G9" s="15" t="s">
        <v>2575</v>
      </c>
      <c r="H9" s="16" t="str">
        <f aca="false">IF(AND(LEN(TRIM(A9&amp;""))&gt;0,TRIM(A9&amp;"")&lt;&gt;"—",LEN(TRIM(B9&amp;""))&gt;0,TRIM(B9&amp;"")&lt;&gt;"—",LEN(TRIM(C9&amp;""))&gt;0,TRIM(C9&amp;"")&lt;&gt;"—",LEN(TRIM(F9&amp;""))&gt;0,TRIM(F9&amp;"")&lt;&gt;"—"),"PASS","⚠ FAIL — "&amp;"a required cell is empty/placeholder or wrong type")</f>
        <v>PASS</v>
      </c>
      <c r="J9" s="0" t="s">
        <v>2574</v>
      </c>
      <c r="K9" s="109" t="n">
        <v>8</v>
      </c>
      <c r="L9" s="109" t="n">
        <v>7.5</v>
      </c>
      <c r="P9" s="0" t="s">
        <v>2576</v>
      </c>
      <c r="Q9" s="109" t="n">
        <v>148</v>
      </c>
      <c r="R9" s="109" t="n">
        <v>148</v>
      </c>
      <c r="S9" s="109" t="n">
        <v>1</v>
      </c>
      <c r="T9" s="0" t="n">
        <f aca="false">IF(ABS($Q$9*$S$9-$R$9)&lt;1,0,1)</f>
        <v>0</v>
      </c>
    </row>
    <row r="10" customFormat="false" ht="23.85" hidden="false" customHeight="false" outlineLevel="0" collapsed="false">
      <c r="A10" s="68" t="s">
        <v>2577</v>
      </c>
      <c r="B10" s="11" t="n">
        <f aca="false">$K$10</f>
        <v>2</v>
      </c>
      <c r="C10" s="11" t="n">
        <f aca="false">$L$10</f>
        <v>1.923</v>
      </c>
      <c r="D10" s="11" t="n">
        <f aca="false">B10-C10</f>
        <v>0.077</v>
      </c>
      <c r="E10" s="11" t="n">
        <v>0.5</v>
      </c>
      <c r="F10" s="117" t="str">
        <f aca="false">IF(ABS(D10)&lt;E10,"PASS","FAIL")</f>
        <v>PASS</v>
      </c>
      <c r="G10" s="15" t="s">
        <v>2578</v>
      </c>
      <c r="H10" s="16" t="str">
        <f aca="false">IF(AND(LEN(TRIM(A10&amp;""))&gt;0,TRIM(A10&amp;"")&lt;&gt;"—",LEN(TRIM(B10&amp;""))&gt;0,TRIM(B10&amp;"")&lt;&gt;"—",LEN(TRIM(C10&amp;""))&gt;0,TRIM(C10&amp;"")&lt;&gt;"—",LEN(TRIM(F10&amp;""))&gt;0,TRIM(F10&amp;"")&lt;&gt;"—"),"PASS","⚠ FAIL — "&amp;"a required cell is empty/placeholder or wrong type")</f>
        <v>PASS</v>
      </c>
      <c r="J10" s="0" t="s">
        <v>2577</v>
      </c>
      <c r="K10" s="109" t="n">
        <v>2</v>
      </c>
      <c r="L10" s="109" t="n">
        <v>1.923</v>
      </c>
      <c r="P10" s="0" t="s">
        <v>2579</v>
      </c>
      <c r="Q10" s="109" t="n">
        <v>3</v>
      </c>
      <c r="R10" s="109" t="n">
        <v>3</v>
      </c>
      <c r="S10" s="109" t="n">
        <v>1</v>
      </c>
      <c r="T10" s="0" t="n">
        <f aca="false">IF(ABS($Q$10*$S$10-$R$10)&lt;1,0,1)</f>
        <v>0</v>
      </c>
    </row>
    <row r="11" customFormat="false" ht="23.85" hidden="false" customHeight="false" outlineLevel="0" collapsed="false">
      <c r="A11" s="68" t="s">
        <v>2580</v>
      </c>
      <c r="B11" s="11" t="n">
        <f aca="false">$K$11</f>
        <v>4</v>
      </c>
      <c r="C11" s="11" t="n">
        <f aca="false">$L$11</f>
        <v>4.2</v>
      </c>
      <c r="D11" s="11" t="n">
        <f aca="false">B11-C11</f>
        <v>-0.2</v>
      </c>
      <c r="E11" s="11" t="n">
        <v>0.5</v>
      </c>
      <c r="F11" s="117" t="str">
        <f aca="false">IF(ABS(D11)&lt;E11,"PASS","FAIL")</f>
        <v>PASS</v>
      </c>
      <c r="G11" s="15" t="s">
        <v>2581</v>
      </c>
      <c r="H11" s="16" t="str">
        <f aca="false">IF(AND(LEN(TRIM(A11&amp;""))&gt;0,TRIM(A11&amp;"")&lt;&gt;"—",LEN(TRIM(B11&amp;""))&gt;0,TRIM(B11&amp;"")&lt;&gt;"—",LEN(TRIM(C11&amp;""))&gt;0,TRIM(C11&amp;"")&lt;&gt;"—",LEN(TRIM(F11&amp;""))&gt;0,TRIM(F11&amp;"")&lt;&gt;"—"),"PASS","⚠ FAIL — "&amp;"a required cell is empty/placeholder or wrong type")</f>
        <v>PASS</v>
      </c>
      <c r="J11" s="0" t="s">
        <v>2580</v>
      </c>
      <c r="K11" s="109" t="n">
        <v>4</v>
      </c>
      <c r="L11" s="109" t="n">
        <v>4.2</v>
      </c>
      <c r="P11" s="0" t="s">
        <v>2582</v>
      </c>
      <c r="Q11" s="109" t="n">
        <v>19200</v>
      </c>
      <c r="R11" s="109" t="n">
        <v>19200</v>
      </c>
      <c r="S11" s="109" t="n">
        <v>1</v>
      </c>
      <c r="T11" s="0" t="n">
        <f aca="false">IF(ABS($Q$11*$S$11-$R$11)&lt;96,0,1)</f>
        <v>0</v>
      </c>
    </row>
    <row r="12" customFormat="false" ht="23.85" hidden="false" customHeight="false" outlineLevel="0" collapsed="false">
      <c r="A12" s="68" t="s">
        <v>2583</v>
      </c>
      <c r="B12" s="11" t="n">
        <f aca="false">$K$12</f>
        <v>0</v>
      </c>
      <c r="C12" s="11" t="n">
        <f aca="false">$L$12</f>
        <v>0</v>
      </c>
      <c r="D12" s="11" t="n">
        <f aca="false">B12-C12</f>
        <v>0</v>
      </c>
      <c r="E12" s="11" t="n">
        <v>0</v>
      </c>
      <c r="F12" s="117" t="str">
        <f aca="false">IF(B12&lt;=C12+E12,"PASS","FAIL")</f>
        <v>PASS</v>
      </c>
      <c r="G12" s="15" t="s">
        <v>2584</v>
      </c>
      <c r="H12" s="16" t="str">
        <f aca="false">IF(AND(LEN(TRIM(A12&amp;""))&gt;0,TRIM(A12&amp;"")&lt;&gt;"—",LEN(TRIM(B12&amp;""))&gt;0,TRIM(B12&amp;"")&lt;&gt;"—",LEN(TRIM(C12&amp;""))&gt;0,TRIM(C12&amp;"")&lt;&gt;"—",LEN(TRIM(F12&amp;""))&gt;0,TRIM(F12&amp;"")&lt;&gt;"—"),"PASS","⚠ FAIL — "&amp;"a required cell is empty/placeholder or wrong type")</f>
        <v>PASS</v>
      </c>
      <c r="J12" s="0" t="s">
        <v>2583</v>
      </c>
      <c r="K12" s="109" t="n">
        <v>0</v>
      </c>
      <c r="L12" s="109" t="n">
        <v>0</v>
      </c>
      <c r="P12" s="0" t="s">
        <v>2585</v>
      </c>
      <c r="Q12" s="109" t="n">
        <v>4000</v>
      </c>
      <c r="R12" s="109" t="n">
        <v>4000</v>
      </c>
      <c r="S12" s="109" t="n">
        <v>1</v>
      </c>
      <c r="T12" s="0" t="n">
        <f aca="false">IF(ABS($Q$12*$S$12-$R$12)&lt;20,0,1)</f>
        <v>0</v>
      </c>
    </row>
    <row r="13" customFormat="false" ht="15" hidden="false" customHeight="false" outlineLevel="0" collapsed="false">
      <c r="P13" s="0" t="s">
        <v>2586</v>
      </c>
      <c r="Q13" s="109" t="n">
        <v>62650</v>
      </c>
      <c r="R13" s="109" t="n">
        <v>62650</v>
      </c>
      <c r="S13" s="109" t="n">
        <v>1</v>
      </c>
      <c r="T13" s="0" t="n">
        <f aca="false">IF(ABS($Q$13*$S$13-$R$13)&lt;313.25,0,1)</f>
        <v>0</v>
      </c>
    </row>
    <row r="14" customFormat="false" ht="15" hidden="false" customHeight="false" outlineLevel="0" collapsed="false">
      <c r="A14" s="8" t="s">
        <v>2587</v>
      </c>
      <c r="B14" s="8"/>
      <c r="C14" s="8"/>
      <c r="D14" s="8"/>
      <c r="E14" s="8"/>
      <c r="F14" s="8"/>
      <c r="G14" s="8"/>
      <c r="P14" s="0" t="s">
        <v>2588</v>
      </c>
      <c r="Q14" s="109" t="n">
        <v>3000</v>
      </c>
      <c r="R14" s="109" t="n">
        <v>3000</v>
      </c>
      <c r="S14" s="109" t="n">
        <v>1</v>
      </c>
      <c r="T14" s="0" t="n">
        <f aca="false">IF(ABS($Q$14*$S$14-$R$14)&lt;15,0,1)</f>
        <v>0</v>
      </c>
    </row>
    <row r="15" customFormat="false" ht="43.25" hidden="false" customHeight="false" outlineLevel="0" collapsed="false">
      <c r="A15" s="68" t="s">
        <v>2589</v>
      </c>
      <c r="B15" s="11" t="n">
        <f aca="false">$K$15</f>
        <v>75</v>
      </c>
      <c r="C15" s="11" t="n">
        <f aca="false">$L$15</f>
        <v>66.25</v>
      </c>
      <c r="D15" s="11" t="n">
        <f aca="false">B15-C15</f>
        <v>8.75</v>
      </c>
      <c r="E15" s="11" t="n">
        <v>0</v>
      </c>
      <c r="F15" s="117" t="str">
        <f aca="false">IF(AND(B15&gt;=C15-E15,B15&lt;=5300),"PASS","FAIL")</f>
        <v>PASS</v>
      </c>
      <c r="G15" s="15" t="s">
        <v>2590</v>
      </c>
      <c r="J15" s="0" t="s">
        <v>2589</v>
      </c>
      <c r="K15" s="109" t="n">
        <v>75</v>
      </c>
      <c r="L15" s="109" t="n">
        <v>66.25</v>
      </c>
      <c r="P15" s="0" t="s">
        <v>2591</v>
      </c>
      <c r="Q15" s="109" t="n">
        <v>1086</v>
      </c>
      <c r="R15" s="109" t="n">
        <v>1086</v>
      </c>
      <c r="S15" s="109" t="n">
        <v>1</v>
      </c>
      <c r="T15" s="0" t="n">
        <f aca="false">IF(ABS($Q$15*$S$15-$R$15)&lt;5.43,0,1)</f>
        <v>0</v>
      </c>
    </row>
    <row r="16" customFormat="false" ht="22.35" hidden="false" customHeight="false" outlineLevel="0" collapsed="false">
      <c r="A16" s="68" t="s">
        <v>2592</v>
      </c>
      <c r="B16" s="11" t="n">
        <f aca="false">$K$16</f>
        <v>1.5</v>
      </c>
      <c r="C16" s="11" t="n">
        <f aca="false">$L$16</f>
        <v>1.5</v>
      </c>
      <c r="D16" s="11" t="n">
        <f aca="false">B16-C16</f>
        <v>0</v>
      </c>
      <c r="E16" s="11" t="n">
        <v>0</v>
      </c>
      <c r="F16" s="117" t="str">
        <f aca="false">IF(B16&gt;=C16-E16,"PASS","FAIL")</f>
        <v>PASS</v>
      </c>
      <c r="G16" s="15" t="s">
        <v>2593</v>
      </c>
      <c r="J16" s="0" t="s">
        <v>2592</v>
      </c>
      <c r="K16" s="109" t="n">
        <v>1.5</v>
      </c>
      <c r="L16" s="109" t="n">
        <v>1.5</v>
      </c>
      <c r="P16" s="0" t="s">
        <v>2594</v>
      </c>
      <c r="Q16" s="109" t="n">
        <v>283</v>
      </c>
      <c r="R16" s="109" t="n">
        <v>283</v>
      </c>
      <c r="S16" s="109" t="n">
        <v>1</v>
      </c>
      <c r="T16" s="0" t="n">
        <f aca="false">IF(ABS($Q$16*$S$16-$R$16)&lt;1.415,0,1)</f>
        <v>0</v>
      </c>
    </row>
    <row r="17" customFormat="false" ht="22.35" hidden="false" customHeight="false" outlineLevel="0" collapsed="false">
      <c r="A17" s="68" t="s">
        <v>2595</v>
      </c>
      <c r="B17" s="11" t="n">
        <f aca="false">$K$17</f>
        <v>1.5</v>
      </c>
      <c r="C17" s="11" t="n">
        <f aca="false">$L$17</f>
        <v>1.5</v>
      </c>
      <c r="D17" s="11" t="n">
        <f aca="false">B17-C17</f>
        <v>0</v>
      </c>
      <c r="E17" s="11" t="n">
        <v>0</v>
      </c>
      <c r="F17" s="117" t="str">
        <f aca="false">IF(B17&gt;=C17-E17,"PASS","FAIL")</f>
        <v>PASS</v>
      </c>
      <c r="G17" s="15" t="s">
        <v>2596</v>
      </c>
      <c r="J17" s="0" t="s">
        <v>2595</v>
      </c>
      <c r="K17" s="109" t="n">
        <v>1.5</v>
      </c>
      <c r="L17" s="109" t="n">
        <v>1.5</v>
      </c>
      <c r="P17" s="0" t="s">
        <v>2597</v>
      </c>
      <c r="Q17" s="109" t="n">
        <v>2</v>
      </c>
      <c r="R17" s="109" t="n">
        <v>2</v>
      </c>
      <c r="S17" s="109" t="n">
        <v>1</v>
      </c>
      <c r="T17" s="0" t="n">
        <f aca="false">IF(ABS($Q$17*$S$17-$R$17)&lt;1,0,1)</f>
        <v>0</v>
      </c>
    </row>
    <row r="18" customFormat="false" ht="22.35" hidden="false" customHeight="false" outlineLevel="0" collapsed="false">
      <c r="A18" s="68" t="s">
        <v>2598</v>
      </c>
      <c r="B18" s="11" t="n">
        <f aca="false">$K$18</f>
        <v>1.5</v>
      </c>
      <c r="C18" s="11" t="n">
        <f aca="false">$L$18</f>
        <v>1.5</v>
      </c>
      <c r="D18" s="11" t="n">
        <f aca="false">B18-C18</f>
        <v>0</v>
      </c>
      <c r="E18" s="11" t="n">
        <v>0</v>
      </c>
      <c r="F18" s="117" t="str">
        <f aca="false">IF(B18&gt;=C18-E18,"PASS","FAIL")</f>
        <v>PASS</v>
      </c>
      <c r="G18" s="15" t="s">
        <v>2599</v>
      </c>
      <c r="J18" s="0" t="s">
        <v>2598</v>
      </c>
      <c r="K18" s="109" t="n">
        <v>1.5</v>
      </c>
      <c r="L18" s="109" t="n">
        <v>1.5</v>
      </c>
      <c r="P18" s="0" t="s">
        <v>2600</v>
      </c>
      <c r="Q18" s="109" t="n">
        <v>12</v>
      </c>
      <c r="R18" s="109" t="n">
        <v>12</v>
      </c>
      <c r="S18" s="109" t="n">
        <v>1</v>
      </c>
      <c r="T18" s="0" t="n">
        <f aca="false">IF(ABS($Q$18*$S$18-$R$18)&lt;1,0,1)</f>
        <v>0</v>
      </c>
    </row>
    <row r="19" customFormat="false" ht="22.35" hidden="false" customHeight="false" outlineLevel="0" collapsed="false">
      <c r="A19" s="68" t="s">
        <v>2601</v>
      </c>
      <c r="B19" s="11" t="n">
        <f aca="false">$K$19</f>
        <v>1.5</v>
      </c>
      <c r="C19" s="11" t="n">
        <f aca="false">$L$19</f>
        <v>1.5</v>
      </c>
      <c r="D19" s="11" t="n">
        <f aca="false">B19-C19</f>
        <v>0</v>
      </c>
      <c r="E19" s="11" t="n">
        <v>0</v>
      </c>
      <c r="F19" s="117" t="str">
        <f aca="false">IF(B19&gt;=C19-E19,"PASS","FAIL")</f>
        <v>PASS</v>
      </c>
      <c r="G19" s="15" t="s">
        <v>2602</v>
      </c>
      <c r="J19" s="0" t="s">
        <v>2601</v>
      </c>
      <c r="K19" s="109" t="n">
        <v>1.5</v>
      </c>
      <c r="L19" s="109" t="n">
        <v>1.5</v>
      </c>
      <c r="P19" s="0" t="s">
        <v>2603</v>
      </c>
      <c r="Q19" s="109" t="n">
        <v>9100</v>
      </c>
      <c r="R19" s="109" t="n">
        <v>9100</v>
      </c>
      <c r="S19" s="109" t="n">
        <v>1</v>
      </c>
      <c r="T19" s="0" t="n">
        <f aca="false">IF(ABS($Q$19*$S$19-$R$19)&lt;45.5,0,1)</f>
        <v>0</v>
      </c>
    </row>
    <row r="20" customFormat="false" ht="22.35" hidden="false" customHeight="false" outlineLevel="0" collapsed="false">
      <c r="A20" s="68" t="s">
        <v>2604</v>
      </c>
      <c r="B20" s="11" t="n">
        <f aca="false">$K$20</f>
        <v>1.5</v>
      </c>
      <c r="C20" s="11" t="n">
        <f aca="false">$L$20</f>
        <v>1.5</v>
      </c>
      <c r="D20" s="11" t="n">
        <f aca="false">B20-C20</f>
        <v>0</v>
      </c>
      <c r="E20" s="11" t="n">
        <v>0</v>
      </c>
      <c r="F20" s="117" t="str">
        <f aca="false">IF(B20&gt;=C20-E20,"PASS","FAIL")</f>
        <v>PASS</v>
      </c>
      <c r="G20" s="15" t="s">
        <v>2605</v>
      </c>
      <c r="J20" s="0" t="s">
        <v>2604</v>
      </c>
      <c r="K20" s="109" t="n">
        <v>1.5</v>
      </c>
      <c r="L20" s="109" t="n">
        <v>1.5</v>
      </c>
      <c r="P20" s="0" t="s">
        <v>2606</v>
      </c>
      <c r="Q20" s="109" t="n">
        <v>9</v>
      </c>
      <c r="R20" s="109" t="n">
        <v>9</v>
      </c>
      <c r="S20" s="109" t="n">
        <v>1</v>
      </c>
      <c r="T20" s="0" t="n">
        <f aca="false">IF(ABS($Q$20*$S$20-$R$20)&lt;1,0,1)</f>
        <v>0</v>
      </c>
    </row>
    <row r="21" customFormat="false" ht="22.35" hidden="false" customHeight="false" outlineLevel="0" collapsed="false">
      <c r="A21" s="68" t="s">
        <v>2607</v>
      </c>
      <c r="B21" s="11" t="n">
        <f aca="false">$K$21</f>
        <v>1.5</v>
      </c>
      <c r="C21" s="11" t="n">
        <f aca="false">$L$21</f>
        <v>1.5</v>
      </c>
      <c r="D21" s="11" t="n">
        <f aca="false">B21-C21</f>
        <v>0</v>
      </c>
      <c r="E21" s="11" t="n">
        <v>0</v>
      </c>
      <c r="F21" s="117" t="str">
        <f aca="false">IF(B21&gt;=C21-E21,"PASS","FAIL")</f>
        <v>PASS</v>
      </c>
      <c r="G21" s="15" t="s">
        <v>2608</v>
      </c>
      <c r="J21" s="0" t="s">
        <v>2607</v>
      </c>
      <c r="K21" s="109" t="n">
        <v>1.5</v>
      </c>
      <c r="L21" s="109" t="n">
        <v>1.5</v>
      </c>
      <c r="P21" s="0" t="s">
        <v>2609</v>
      </c>
      <c r="Q21" s="109" t="n">
        <v>9</v>
      </c>
      <c r="R21" s="109" t="n">
        <v>9</v>
      </c>
      <c r="S21" s="109" t="n">
        <v>1</v>
      </c>
      <c r="T21" s="0" t="n">
        <f aca="false">IF(ABS($Q$21*$S$21-$R$21)&lt;1,0,1)</f>
        <v>0</v>
      </c>
    </row>
    <row r="22" customFormat="false" ht="22.35" hidden="false" customHeight="false" outlineLevel="0" collapsed="false">
      <c r="A22" s="68" t="s">
        <v>2610</v>
      </c>
      <c r="B22" s="11" t="n">
        <f aca="false">$K$22</f>
        <v>1.5</v>
      </c>
      <c r="C22" s="11" t="n">
        <f aca="false">$L$22</f>
        <v>1.5</v>
      </c>
      <c r="D22" s="11" t="n">
        <f aca="false">B22-C22</f>
        <v>0</v>
      </c>
      <c r="E22" s="11" t="n">
        <v>0</v>
      </c>
      <c r="F22" s="117" t="str">
        <f aca="false">IF(B22&gt;=C22-E22,"PASS","FAIL")</f>
        <v>PASS</v>
      </c>
      <c r="G22" s="15" t="s">
        <v>2611</v>
      </c>
      <c r="J22" s="0" t="s">
        <v>2610</v>
      </c>
      <c r="K22" s="109" t="n">
        <v>1.5</v>
      </c>
      <c r="L22" s="109" t="n">
        <v>1.5</v>
      </c>
      <c r="P22" s="0" t="s">
        <v>2612</v>
      </c>
      <c r="Q22" s="109" t="n">
        <v>1</v>
      </c>
      <c r="R22" s="109" t="n">
        <v>1</v>
      </c>
      <c r="S22" s="109" t="n">
        <v>1</v>
      </c>
      <c r="T22" s="0" t="n">
        <f aca="false">IF(ABS($Q$22*$S$22-$R$22)&lt;1,0,1)</f>
        <v>0</v>
      </c>
    </row>
    <row r="23" customFormat="false" ht="22.35" hidden="false" customHeight="false" outlineLevel="0" collapsed="false">
      <c r="A23" s="68" t="s">
        <v>2613</v>
      </c>
      <c r="B23" s="11" t="n">
        <f aca="false">$K$23</f>
        <v>1.5</v>
      </c>
      <c r="C23" s="11" t="n">
        <f aca="false">$L$23</f>
        <v>1.5</v>
      </c>
      <c r="D23" s="11" t="n">
        <f aca="false">B23-C23</f>
        <v>0</v>
      </c>
      <c r="E23" s="11" t="n">
        <v>0</v>
      </c>
      <c r="F23" s="117" t="str">
        <f aca="false">IF(B23&gt;=C23-E23,"PASS","FAIL")</f>
        <v>PASS</v>
      </c>
      <c r="G23" s="15" t="s">
        <v>2614</v>
      </c>
      <c r="J23" s="0" t="s">
        <v>2613</v>
      </c>
      <c r="K23" s="109" t="n">
        <v>1.5</v>
      </c>
      <c r="L23" s="109" t="n">
        <v>1.5</v>
      </c>
      <c r="P23" s="0" t="s">
        <v>2615</v>
      </c>
      <c r="Q23" s="109" t="n">
        <v>17540</v>
      </c>
      <c r="R23" s="109" t="n">
        <v>17540</v>
      </c>
      <c r="S23" s="109" t="n">
        <v>1</v>
      </c>
      <c r="T23" s="0" t="n">
        <f aca="false">IF(ABS($Q$23*$S$23-$R$23)&lt;87.7,0,1)</f>
        <v>0</v>
      </c>
    </row>
    <row r="24" customFormat="false" ht="22.35" hidden="false" customHeight="false" outlineLevel="0" collapsed="false">
      <c r="A24" s="68" t="s">
        <v>2616</v>
      </c>
      <c r="B24" s="11" t="n">
        <f aca="false">$K$24</f>
        <v>1.5</v>
      </c>
      <c r="C24" s="11" t="n">
        <f aca="false">$L$24</f>
        <v>1.5</v>
      </c>
      <c r="D24" s="11" t="n">
        <f aca="false">B24-C24</f>
        <v>0</v>
      </c>
      <c r="E24" s="11" t="n">
        <v>0</v>
      </c>
      <c r="F24" s="117" t="str">
        <f aca="false">IF(B24&gt;=C24-E24,"PASS","FAIL")</f>
        <v>PASS</v>
      </c>
      <c r="G24" s="15" t="s">
        <v>2617</v>
      </c>
      <c r="J24" s="0" t="s">
        <v>2616</v>
      </c>
      <c r="K24" s="109" t="n">
        <v>1.5</v>
      </c>
      <c r="L24" s="109" t="n">
        <v>1.5</v>
      </c>
      <c r="P24" s="0" t="s">
        <v>2618</v>
      </c>
      <c r="Q24" s="109" t="n">
        <v>8000</v>
      </c>
      <c r="R24" s="109" t="n">
        <v>16000</v>
      </c>
      <c r="S24" s="109" t="n">
        <v>2</v>
      </c>
      <c r="T24" s="0" t="n">
        <f aca="false">IF(ABS($Q$24*$S$24-$R$24)&lt;80,0,1)</f>
        <v>0</v>
      </c>
    </row>
    <row r="25" customFormat="false" ht="22.35" hidden="false" customHeight="false" outlineLevel="0" collapsed="false">
      <c r="A25" s="68" t="s">
        <v>2619</v>
      </c>
      <c r="B25" s="11" t="n">
        <f aca="false">$K$25</f>
        <v>1.5</v>
      </c>
      <c r="C25" s="11" t="n">
        <f aca="false">$L$25</f>
        <v>1.5</v>
      </c>
      <c r="D25" s="11" t="n">
        <f aca="false">B25-C25</f>
        <v>0</v>
      </c>
      <c r="E25" s="11" t="n">
        <v>0</v>
      </c>
      <c r="F25" s="117" t="str">
        <f aca="false">IF(B25&gt;=C25-E25,"PASS","FAIL")</f>
        <v>PASS</v>
      </c>
      <c r="G25" s="15" t="s">
        <v>2620</v>
      </c>
      <c r="J25" s="0" t="s">
        <v>2619</v>
      </c>
      <c r="K25" s="109" t="n">
        <v>1.5</v>
      </c>
      <c r="L25" s="109" t="n">
        <v>1.5</v>
      </c>
      <c r="P25" s="0" t="s">
        <v>2621</v>
      </c>
      <c r="Q25" s="109" t="n">
        <v>8634</v>
      </c>
      <c r="R25" s="109" t="n">
        <v>17268</v>
      </c>
      <c r="S25" s="109" t="n">
        <v>2</v>
      </c>
      <c r="T25" s="0" t="n">
        <f aca="false">IF(ABS($Q$25*$S$25-$R$25)&lt;86.34,0,1)</f>
        <v>0</v>
      </c>
    </row>
    <row r="26" customFormat="false" ht="22.35" hidden="false" customHeight="false" outlineLevel="0" collapsed="false">
      <c r="A26" s="68" t="s">
        <v>2622</v>
      </c>
      <c r="B26" s="11" t="n">
        <f aca="false">$K$26</f>
        <v>1.5</v>
      </c>
      <c r="C26" s="11" t="n">
        <f aca="false">$L$26</f>
        <v>1.5</v>
      </c>
      <c r="D26" s="11" t="n">
        <f aca="false">B26-C26</f>
        <v>0</v>
      </c>
      <c r="E26" s="11" t="n">
        <v>0</v>
      </c>
      <c r="F26" s="117" t="str">
        <f aca="false">IF(B26&gt;=C26-E26,"PASS","FAIL")</f>
        <v>PASS</v>
      </c>
      <c r="G26" s="15" t="s">
        <v>2623</v>
      </c>
      <c r="J26" s="0" t="s">
        <v>2622</v>
      </c>
      <c r="K26" s="109" t="n">
        <v>1.5</v>
      </c>
      <c r="L26" s="109" t="n">
        <v>1.5</v>
      </c>
      <c r="P26" s="0" t="s">
        <v>2624</v>
      </c>
      <c r="Q26" s="109" t="n">
        <v>2844</v>
      </c>
      <c r="R26" s="109" t="n">
        <v>22752</v>
      </c>
      <c r="S26" s="109" t="n">
        <v>8</v>
      </c>
      <c r="T26" s="0" t="n">
        <f aca="false">IF(ABS($Q$26*$S$26-$R$26)&lt;113.76,0,1)</f>
        <v>0</v>
      </c>
    </row>
    <row r="27" customFormat="false" ht="22.35" hidden="false" customHeight="false" outlineLevel="0" collapsed="false">
      <c r="A27" s="68" t="s">
        <v>2625</v>
      </c>
      <c r="B27" s="11" t="n">
        <f aca="false">$K$27</f>
        <v>1.5</v>
      </c>
      <c r="C27" s="11" t="n">
        <f aca="false">$L$27</f>
        <v>1.5</v>
      </c>
      <c r="D27" s="11" t="n">
        <f aca="false">B27-C27</f>
        <v>0</v>
      </c>
      <c r="E27" s="11" t="n">
        <v>0</v>
      </c>
      <c r="F27" s="117" t="str">
        <f aca="false">IF(B27&gt;=C27-E27,"PASS","FAIL")</f>
        <v>PASS</v>
      </c>
      <c r="G27" s="15" t="s">
        <v>2626</v>
      </c>
      <c r="J27" s="0" t="s">
        <v>2625</v>
      </c>
      <c r="K27" s="109" t="n">
        <v>1.5</v>
      </c>
      <c r="L27" s="109" t="n">
        <v>1.5</v>
      </c>
      <c r="P27" s="0" t="s">
        <v>2627</v>
      </c>
      <c r="Q27" s="109" t="n">
        <v>2500</v>
      </c>
      <c r="R27" s="109" t="n">
        <v>2500</v>
      </c>
      <c r="S27" s="109" t="n">
        <v>1</v>
      </c>
      <c r="T27" s="0" t="n">
        <f aca="false">IF(ABS($Q$27*$S$27-$R$27)&lt;12.5,0,1)</f>
        <v>0</v>
      </c>
    </row>
    <row r="28" customFormat="false" ht="22.35" hidden="false" customHeight="false" outlineLevel="0" collapsed="false">
      <c r="A28" s="68" t="s">
        <v>2628</v>
      </c>
      <c r="B28" s="11" t="n">
        <f aca="false">$K$28</f>
        <v>1.5</v>
      </c>
      <c r="C28" s="11" t="n">
        <f aca="false">$L$28</f>
        <v>1.5</v>
      </c>
      <c r="D28" s="11" t="n">
        <f aca="false">B28-C28</f>
        <v>0</v>
      </c>
      <c r="E28" s="11" t="n">
        <v>0</v>
      </c>
      <c r="F28" s="117" t="str">
        <f aca="false">IF(B28&gt;=C28-E28,"PASS","FAIL")</f>
        <v>PASS</v>
      </c>
      <c r="G28" s="15" t="s">
        <v>2629</v>
      </c>
      <c r="J28" s="0" t="s">
        <v>2628</v>
      </c>
      <c r="K28" s="109" t="n">
        <v>1.5</v>
      </c>
      <c r="L28" s="109" t="n">
        <v>1.5</v>
      </c>
      <c r="P28" s="0" t="s">
        <v>2630</v>
      </c>
      <c r="Q28" s="109" t="n">
        <v>4683</v>
      </c>
      <c r="R28" s="109" t="n">
        <v>9366</v>
      </c>
      <c r="S28" s="109" t="n">
        <v>2</v>
      </c>
      <c r="T28" s="0" t="n">
        <f aca="false">IF(ABS($Q$28*$S$28-$R$28)&lt;46.83,0,1)</f>
        <v>0</v>
      </c>
    </row>
    <row r="29" customFormat="false" ht="22.35" hidden="false" customHeight="false" outlineLevel="0" collapsed="false">
      <c r="A29" s="68" t="s">
        <v>2631</v>
      </c>
      <c r="B29" s="11" t="n">
        <f aca="false">$K$29</f>
        <v>1.5</v>
      </c>
      <c r="C29" s="11" t="n">
        <f aca="false">$L$29</f>
        <v>1.5</v>
      </c>
      <c r="D29" s="11" t="n">
        <f aca="false">B29-C29</f>
        <v>0</v>
      </c>
      <c r="E29" s="11" t="n">
        <v>0</v>
      </c>
      <c r="F29" s="117" t="str">
        <f aca="false">IF(B29&gt;=C29-E29,"PASS","FAIL")</f>
        <v>PASS</v>
      </c>
      <c r="G29" s="15" t="s">
        <v>2632</v>
      </c>
      <c r="J29" s="0" t="s">
        <v>2631</v>
      </c>
      <c r="K29" s="109" t="n">
        <v>1.5</v>
      </c>
      <c r="L29" s="109" t="n">
        <v>1.5</v>
      </c>
      <c r="P29" s="0" t="s">
        <v>2633</v>
      </c>
      <c r="Q29" s="109" t="n">
        <v>1850</v>
      </c>
      <c r="R29" s="109" t="n">
        <v>3700</v>
      </c>
      <c r="S29" s="109" t="n">
        <v>2</v>
      </c>
      <c r="T29" s="0" t="n">
        <f aca="false">IF(ABS($Q$29*$S$29-$R$29)&lt;18.5,0,1)</f>
        <v>0</v>
      </c>
    </row>
    <row r="30" customFormat="false" ht="22.35" hidden="false" customHeight="false" outlineLevel="0" collapsed="false">
      <c r="A30" s="68" t="s">
        <v>2634</v>
      </c>
      <c r="B30" s="11" t="n">
        <f aca="false">$K$30</f>
        <v>1.5</v>
      </c>
      <c r="C30" s="11" t="n">
        <f aca="false">$L$30</f>
        <v>1.5</v>
      </c>
      <c r="D30" s="11" t="n">
        <f aca="false">B30-C30</f>
        <v>0</v>
      </c>
      <c r="E30" s="11" t="n">
        <v>0</v>
      </c>
      <c r="F30" s="117" t="str">
        <f aca="false">IF(B30&gt;=C30-E30,"PASS","FAIL")</f>
        <v>PASS</v>
      </c>
      <c r="G30" s="15" t="s">
        <v>2635</v>
      </c>
      <c r="J30" s="0" t="s">
        <v>2634</v>
      </c>
      <c r="K30" s="109" t="n">
        <v>1.5</v>
      </c>
      <c r="L30" s="109" t="n">
        <v>1.5</v>
      </c>
      <c r="P30" s="0" t="s">
        <v>2636</v>
      </c>
      <c r="Q30" s="109" t="n">
        <v>8270</v>
      </c>
      <c r="R30" s="109" t="n">
        <v>16540</v>
      </c>
      <c r="S30" s="109" t="n">
        <v>2</v>
      </c>
      <c r="T30" s="0" t="n">
        <f aca="false">IF(ABS($Q$30*$S$30-$R$30)&lt;82.7,0,1)</f>
        <v>0</v>
      </c>
    </row>
    <row r="31" customFormat="false" ht="22.35" hidden="false" customHeight="false" outlineLevel="0" collapsed="false">
      <c r="A31" s="68" t="s">
        <v>2637</v>
      </c>
      <c r="B31" s="11" t="n">
        <f aca="false">$K$31</f>
        <v>1.5</v>
      </c>
      <c r="C31" s="11" t="n">
        <f aca="false">$L$31</f>
        <v>1.5</v>
      </c>
      <c r="D31" s="11" t="n">
        <f aca="false">B31-C31</f>
        <v>0</v>
      </c>
      <c r="E31" s="11" t="n">
        <v>0</v>
      </c>
      <c r="F31" s="117" t="str">
        <f aca="false">IF(B31&gt;=C31-E31,"PASS","FAIL")</f>
        <v>PASS</v>
      </c>
      <c r="G31" s="15" t="s">
        <v>2638</v>
      </c>
      <c r="J31" s="0" t="s">
        <v>2637</v>
      </c>
      <c r="K31" s="109" t="n">
        <v>1.5</v>
      </c>
      <c r="L31" s="109" t="n">
        <v>1.5</v>
      </c>
      <c r="P31" s="0" t="s">
        <v>2639</v>
      </c>
      <c r="Q31" s="109" t="n">
        <v>14825</v>
      </c>
      <c r="R31" s="109" t="n">
        <v>14825</v>
      </c>
      <c r="S31" s="109" t="n">
        <v>1</v>
      </c>
      <c r="T31" s="0" t="n">
        <f aca="false">IF(ABS($Q$31*$S$31-$R$31)&lt;74.125,0,1)</f>
        <v>0</v>
      </c>
    </row>
    <row r="32" customFormat="false" ht="22.35" hidden="false" customHeight="false" outlineLevel="0" collapsed="false">
      <c r="A32" s="68" t="s">
        <v>2640</v>
      </c>
      <c r="B32" s="11" t="n">
        <f aca="false">$K$32</f>
        <v>1.5</v>
      </c>
      <c r="C32" s="11" t="n">
        <f aca="false">$L$32</f>
        <v>1.5</v>
      </c>
      <c r="D32" s="11" t="n">
        <f aca="false">B32-C32</f>
        <v>0</v>
      </c>
      <c r="E32" s="11" t="n">
        <v>0</v>
      </c>
      <c r="F32" s="117" t="str">
        <f aca="false">IF(B32&gt;=C32-E32,"PASS","FAIL")</f>
        <v>PASS</v>
      </c>
      <c r="G32" s="15" t="s">
        <v>2641</v>
      </c>
      <c r="J32" s="0" t="s">
        <v>2640</v>
      </c>
      <c r="K32" s="109" t="n">
        <v>1.5</v>
      </c>
      <c r="L32" s="109" t="n">
        <v>1.5</v>
      </c>
      <c r="P32" s="0" t="s">
        <v>2642</v>
      </c>
      <c r="Q32" s="109" t="n">
        <v>9413</v>
      </c>
      <c r="R32" s="109" t="n">
        <v>9413</v>
      </c>
      <c r="S32" s="109" t="n">
        <v>1</v>
      </c>
      <c r="T32" s="0" t="n">
        <f aca="false">IF(ABS($Q$32*$S$32-$R$32)&lt;47.065,0,1)</f>
        <v>0</v>
      </c>
    </row>
    <row r="33" customFormat="false" ht="22.35" hidden="false" customHeight="false" outlineLevel="0" collapsed="false">
      <c r="A33" s="68" t="s">
        <v>2643</v>
      </c>
      <c r="B33" s="11" t="n">
        <f aca="false">$K$33</f>
        <v>1.5</v>
      </c>
      <c r="C33" s="11" t="n">
        <f aca="false">$L$33</f>
        <v>1.5</v>
      </c>
      <c r="D33" s="11" t="n">
        <f aca="false">B33-C33</f>
        <v>0</v>
      </c>
      <c r="E33" s="11" t="n">
        <v>0</v>
      </c>
      <c r="F33" s="117" t="str">
        <f aca="false">IF(B33&gt;=C33-E33,"PASS","FAIL")</f>
        <v>PASS</v>
      </c>
      <c r="G33" s="15" t="s">
        <v>2644</v>
      </c>
      <c r="J33" s="0" t="s">
        <v>2643</v>
      </c>
      <c r="K33" s="109" t="n">
        <v>1.5</v>
      </c>
      <c r="L33" s="109" t="n">
        <v>1.5</v>
      </c>
      <c r="P33" s="0" t="s">
        <v>2645</v>
      </c>
      <c r="Q33" s="109" t="n">
        <v>1725</v>
      </c>
      <c r="R33" s="109" t="n">
        <v>3450</v>
      </c>
      <c r="S33" s="109" t="n">
        <v>2</v>
      </c>
      <c r="T33" s="0" t="n">
        <f aca="false">IF(ABS($Q$33*$S$33-$R$33)&lt;17.25,0,1)</f>
        <v>0</v>
      </c>
    </row>
    <row r="34" customFormat="false" ht="22.35" hidden="false" customHeight="false" outlineLevel="0" collapsed="false">
      <c r="A34" s="68" t="s">
        <v>2646</v>
      </c>
      <c r="B34" s="11" t="n">
        <f aca="false">$K$34</f>
        <v>1.5</v>
      </c>
      <c r="C34" s="11" t="n">
        <f aca="false">$L$34</f>
        <v>1.5</v>
      </c>
      <c r="D34" s="11" t="n">
        <f aca="false">B34-C34</f>
        <v>0</v>
      </c>
      <c r="E34" s="11" t="n">
        <v>0</v>
      </c>
      <c r="F34" s="117" t="str">
        <f aca="false">IF(B34&gt;=C34-E34,"PASS","FAIL")</f>
        <v>PASS</v>
      </c>
      <c r="G34" s="15" t="s">
        <v>2647</v>
      </c>
      <c r="J34" s="0" t="s">
        <v>2646</v>
      </c>
      <c r="K34" s="109" t="n">
        <v>1.5</v>
      </c>
      <c r="L34" s="109" t="n">
        <v>1.5</v>
      </c>
      <c r="P34" s="0" t="s">
        <v>2648</v>
      </c>
      <c r="Q34" s="109" t="n">
        <v>8737</v>
      </c>
      <c r="R34" s="109" t="n">
        <v>8737</v>
      </c>
      <c r="S34" s="109" t="n">
        <v>1</v>
      </c>
      <c r="T34" s="0" t="n">
        <f aca="false">IF(ABS($Q$34*$S$34-$R$34)&lt;43.685,0,1)</f>
        <v>0</v>
      </c>
    </row>
    <row r="35" customFormat="false" ht="22.35" hidden="false" customHeight="false" outlineLevel="0" collapsed="false">
      <c r="A35" s="68" t="s">
        <v>2649</v>
      </c>
      <c r="B35" s="11" t="n">
        <f aca="false">$K$35</f>
        <v>1.5</v>
      </c>
      <c r="C35" s="11" t="n">
        <f aca="false">$L$35</f>
        <v>1.5</v>
      </c>
      <c r="D35" s="11" t="n">
        <f aca="false">B35-C35</f>
        <v>0</v>
      </c>
      <c r="E35" s="11" t="n">
        <v>0</v>
      </c>
      <c r="F35" s="117" t="str">
        <f aca="false">IF(B35&gt;=C35-E35,"PASS","FAIL")</f>
        <v>PASS</v>
      </c>
      <c r="G35" s="15" t="s">
        <v>2650</v>
      </c>
      <c r="J35" s="0" t="s">
        <v>2649</v>
      </c>
      <c r="K35" s="109" t="n">
        <v>1.5</v>
      </c>
      <c r="L35" s="109" t="n">
        <v>1.5</v>
      </c>
      <c r="P35" s="0" t="s">
        <v>2651</v>
      </c>
      <c r="Q35" s="109" t="n">
        <v>3850</v>
      </c>
      <c r="R35" s="109" t="n">
        <v>3850</v>
      </c>
      <c r="S35" s="109" t="n">
        <v>1</v>
      </c>
      <c r="T35" s="0" t="n">
        <f aca="false">IF(ABS($Q$35*$S$35-$R$35)&lt;19.25,0,1)</f>
        <v>0</v>
      </c>
    </row>
    <row r="36" customFormat="false" ht="15" hidden="false" customHeight="false" outlineLevel="0" collapsed="false">
      <c r="P36" s="0" t="s">
        <v>2652</v>
      </c>
      <c r="Q36" s="109" t="n">
        <v>14825</v>
      </c>
      <c r="R36" s="109" t="n">
        <v>14825</v>
      </c>
      <c r="S36" s="109" t="n">
        <v>1</v>
      </c>
      <c r="T36" s="0" t="n">
        <f aca="false">IF(ABS($Q$36*$S$36-$R$36)&lt;74.125,0,1)</f>
        <v>0</v>
      </c>
    </row>
    <row r="37" customFormat="false" ht="15" hidden="false" customHeight="false" outlineLevel="0" collapsed="false">
      <c r="A37" s="8" t="s">
        <v>2653</v>
      </c>
      <c r="B37" s="8"/>
      <c r="C37" s="8"/>
      <c r="D37" s="8"/>
      <c r="E37" s="8"/>
      <c r="F37" s="8"/>
      <c r="G37" s="8"/>
      <c r="P37" s="0" t="s">
        <v>2654</v>
      </c>
      <c r="Q37" s="109" t="n">
        <v>13615</v>
      </c>
      <c r="R37" s="109" t="n">
        <v>13615</v>
      </c>
      <c r="S37" s="109" t="n">
        <v>1</v>
      </c>
      <c r="T37" s="0" t="n">
        <f aca="false">IF(ABS($Q$37*$S$37-$R$37)&lt;68.075,0,1)</f>
        <v>0</v>
      </c>
    </row>
    <row r="38" customFormat="false" ht="23.85" hidden="false" customHeight="false" outlineLevel="0" collapsed="false">
      <c r="A38" s="68" t="s">
        <v>2655</v>
      </c>
      <c r="B38" s="11" t="n">
        <f aca="false">$K$38</f>
        <v>672</v>
      </c>
      <c r="C38" s="11" t="n">
        <f aca="false">$L$38</f>
        <v>672.23</v>
      </c>
      <c r="D38" s="11" t="n">
        <f aca="false">B38-C38</f>
        <v>-0.230000000000018</v>
      </c>
      <c r="E38" s="11" t="n">
        <v>5</v>
      </c>
      <c r="F38" s="117" t="str">
        <f aca="false">IF(OR(C38=0,AND(B38/C38&lt;=E38,B38/C38&gt;=1/E38)),"PASS","FAIL")</f>
        <v>PASS</v>
      </c>
      <c r="G38" s="15" t="s">
        <v>2656</v>
      </c>
      <c r="J38" s="0" t="s">
        <v>2655</v>
      </c>
      <c r="K38" s="109" t="n">
        <v>672</v>
      </c>
      <c r="L38" s="109" t="n">
        <v>672.23</v>
      </c>
      <c r="P38" s="0" t="s">
        <v>2657</v>
      </c>
      <c r="Q38" s="109" t="n">
        <v>13615</v>
      </c>
      <c r="R38" s="109" t="n">
        <v>27230</v>
      </c>
      <c r="S38" s="109" t="n">
        <v>2</v>
      </c>
      <c r="T38" s="0" t="n">
        <f aca="false">IF(ABS($Q$38*$S$38-$R$38)&lt;136.15,0,1)</f>
        <v>0</v>
      </c>
    </row>
    <row r="39" customFormat="false" ht="23.85" hidden="false" customHeight="false" outlineLevel="0" collapsed="false">
      <c r="A39" s="68" t="s">
        <v>2658</v>
      </c>
      <c r="B39" s="11" t="n">
        <f aca="false">$K$39</f>
        <v>283</v>
      </c>
      <c r="C39" s="11" t="n">
        <f aca="false">$L$39</f>
        <v>283</v>
      </c>
      <c r="D39" s="11" t="n">
        <f aca="false">B39-C39</f>
        <v>0</v>
      </c>
      <c r="E39" s="11" t="n">
        <v>5</v>
      </c>
      <c r="F39" s="117" t="str">
        <f aca="false">IF(OR(C39=0,AND(B39/C39&lt;=E39,B39/C39&gt;=1/E39)),"PASS","FAIL")</f>
        <v>PASS</v>
      </c>
      <c r="G39" s="15" t="s">
        <v>2659</v>
      </c>
      <c r="J39" s="0" t="s">
        <v>2658</v>
      </c>
      <c r="K39" s="109" t="n">
        <v>283</v>
      </c>
      <c r="L39" s="109" t="n">
        <v>283</v>
      </c>
      <c r="P39" s="0" t="s">
        <v>2660</v>
      </c>
      <c r="Q39" s="109" t="n">
        <v>3</v>
      </c>
      <c r="R39" s="109" t="n">
        <v>3</v>
      </c>
      <c r="S39" s="109" t="n">
        <v>1</v>
      </c>
      <c r="T39" s="0" t="n">
        <f aca="false">IF(ABS($Q$39*$S$39-$R$39)&lt;1,0,1)</f>
        <v>0</v>
      </c>
    </row>
    <row r="40" customFormat="false" ht="23.85" hidden="false" customHeight="false" outlineLevel="0" collapsed="false">
      <c r="A40" s="68" t="s">
        <v>2661</v>
      </c>
      <c r="B40" s="11" t="n">
        <f aca="false">$K$40</f>
        <v>148</v>
      </c>
      <c r="C40" s="11" t="n">
        <f aca="false">$L$40</f>
        <v>148</v>
      </c>
      <c r="D40" s="11" t="n">
        <f aca="false">B40-C40</f>
        <v>0</v>
      </c>
      <c r="E40" s="11" t="n">
        <v>5</v>
      </c>
      <c r="F40" s="117" t="str">
        <f aca="false">IF(OR(C40=0,AND(B40/C40&lt;=E40,B40/C40&gt;=1/E40)),"PASS","FAIL")</f>
        <v>PASS</v>
      </c>
      <c r="G40" s="15" t="s">
        <v>2662</v>
      </c>
      <c r="J40" s="0" t="s">
        <v>2661</v>
      </c>
      <c r="K40" s="109" t="n">
        <v>148</v>
      </c>
      <c r="L40" s="109" t="n">
        <v>148</v>
      </c>
      <c r="P40" s="0" t="s">
        <v>2663</v>
      </c>
      <c r="Q40" s="109" t="n">
        <v>9100</v>
      </c>
      <c r="R40" s="109" t="n">
        <v>9100</v>
      </c>
      <c r="S40" s="109" t="n">
        <v>1</v>
      </c>
      <c r="T40" s="0" t="n">
        <f aca="false">IF(ABS($Q$40*$S$40-$R$40)&lt;45.5,0,1)</f>
        <v>0</v>
      </c>
    </row>
    <row r="41" customFormat="false" ht="23.85" hidden="false" customHeight="false" outlineLevel="0" collapsed="false">
      <c r="A41" s="68" t="s">
        <v>2664</v>
      </c>
      <c r="B41" s="11" t="n">
        <f aca="false">$K$41</f>
        <v>283</v>
      </c>
      <c r="C41" s="11" t="n">
        <f aca="false">$L$41</f>
        <v>283</v>
      </c>
      <c r="D41" s="11" t="n">
        <f aca="false">B41-C41</f>
        <v>0</v>
      </c>
      <c r="E41" s="11" t="n">
        <v>5</v>
      </c>
      <c r="F41" s="117" t="str">
        <f aca="false">IF(OR(C41=0,AND(B41/C41&lt;=E41,B41/C41&gt;=1/E41)),"PASS","FAIL")</f>
        <v>PASS</v>
      </c>
      <c r="G41" s="15" t="s">
        <v>2665</v>
      </c>
      <c r="J41" s="0" t="s">
        <v>2664</v>
      </c>
      <c r="K41" s="109" t="n">
        <v>283</v>
      </c>
      <c r="L41" s="109" t="n">
        <v>283</v>
      </c>
      <c r="P41" s="0" t="s">
        <v>2666</v>
      </c>
      <c r="Q41" s="109" t="n">
        <v>313</v>
      </c>
      <c r="R41" s="109" t="n">
        <v>313</v>
      </c>
      <c r="S41" s="109" t="n">
        <v>1</v>
      </c>
      <c r="T41" s="0" t="n">
        <f aca="false">IF(ABS($Q$41*$S$41-$R$41)&lt;1.565,0,1)</f>
        <v>0</v>
      </c>
    </row>
    <row r="42" customFormat="false" ht="23.85" hidden="false" customHeight="false" outlineLevel="0" collapsed="false">
      <c r="A42" s="68" t="s">
        <v>2667</v>
      </c>
      <c r="B42" s="11" t="n">
        <f aca="false">$K$42</f>
        <v>17540</v>
      </c>
      <c r="C42" s="11" t="n">
        <f aca="false">$L$42</f>
        <v>12012</v>
      </c>
      <c r="D42" s="11" t="n">
        <f aca="false">B42-C42</f>
        <v>5528</v>
      </c>
      <c r="E42" s="11" t="n">
        <v>5</v>
      </c>
      <c r="F42" s="117" t="str">
        <f aca="false">IF(OR(C42=0,AND(B42/C42&lt;=E42,B42/C42&gt;=1/E42)),"PASS","FAIL")</f>
        <v>PASS</v>
      </c>
      <c r="G42" s="15" t="s">
        <v>2668</v>
      </c>
      <c r="J42" s="0" t="s">
        <v>2667</v>
      </c>
      <c r="K42" s="109" t="n">
        <v>17540</v>
      </c>
      <c r="L42" s="109" t="n">
        <v>12012</v>
      </c>
      <c r="P42" s="0" t="s">
        <v>2669</v>
      </c>
      <c r="Q42" s="109" t="n">
        <v>12</v>
      </c>
      <c r="R42" s="109" t="n">
        <v>12</v>
      </c>
      <c r="S42" s="109" t="n">
        <v>1</v>
      </c>
      <c r="T42" s="0" t="n">
        <f aca="false">IF(ABS($Q$42*$S$42-$R$42)&lt;1,0,1)</f>
        <v>0</v>
      </c>
    </row>
    <row r="43" customFormat="false" ht="23.85" hidden="false" customHeight="false" outlineLevel="0" collapsed="false">
      <c r="A43" s="68" t="s">
        <v>2670</v>
      </c>
      <c r="B43" s="11" t="n">
        <f aca="false">$K$43</f>
        <v>8634</v>
      </c>
      <c r="C43" s="11" t="n">
        <f aca="false">$L$43</f>
        <v>8634</v>
      </c>
      <c r="D43" s="11" t="n">
        <f aca="false">B43-C43</f>
        <v>0</v>
      </c>
      <c r="E43" s="11" t="n">
        <v>5</v>
      </c>
      <c r="F43" s="117" t="str">
        <f aca="false">IF(OR(C43=0,AND(B43/C43&lt;=E43,B43/C43&gt;=1/E43)),"PASS","FAIL")</f>
        <v>PASS</v>
      </c>
      <c r="G43" s="15" t="s">
        <v>2671</v>
      </c>
      <c r="J43" s="0" t="s">
        <v>2670</v>
      </c>
      <c r="K43" s="109" t="n">
        <v>8634</v>
      </c>
      <c r="L43" s="109" t="n">
        <v>8634</v>
      </c>
      <c r="P43" s="0" t="s">
        <v>2672</v>
      </c>
      <c r="Q43" s="109" t="n">
        <v>160</v>
      </c>
      <c r="R43" s="109" t="n">
        <v>160</v>
      </c>
      <c r="S43" s="109" t="n">
        <v>1</v>
      </c>
      <c r="T43" s="0" t="n">
        <f aca="false">IF(ABS($Q$43*$S$43-$R$43)&lt;1,0,1)</f>
        <v>0</v>
      </c>
    </row>
    <row r="44" customFormat="false" ht="32.8" hidden="false" customHeight="false" outlineLevel="0" collapsed="false">
      <c r="A44" s="68" t="s">
        <v>2673</v>
      </c>
      <c r="B44" s="11" t="n">
        <f aca="false">$K$44</f>
        <v>2500</v>
      </c>
      <c r="C44" s="11" t="n">
        <f aca="false">$L$44</f>
        <v>2500</v>
      </c>
      <c r="D44" s="11" t="n">
        <f aca="false">B44-C44</f>
        <v>0</v>
      </c>
      <c r="E44" s="11" t="n">
        <v>5</v>
      </c>
      <c r="F44" s="117" t="str">
        <f aca="false">IF(OR(C44=0,AND(B44/C44&lt;=E44,B44/C44&gt;=1/E44)),"PASS","FAIL")</f>
        <v>PASS</v>
      </c>
      <c r="G44" s="15" t="s">
        <v>2674</v>
      </c>
      <c r="J44" s="0" t="s">
        <v>2673</v>
      </c>
      <c r="K44" s="109" t="n">
        <v>2500</v>
      </c>
      <c r="L44" s="109" t="n">
        <v>2500</v>
      </c>
      <c r="P44" s="0" t="s">
        <v>2675</v>
      </c>
      <c r="Q44" s="109" t="n">
        <v>132</v>
      </c>
      <c r="R44" s="109" t="n">
        <v>132</v>
      </c>
      <c r="S44" s="109" t="n">
        <v>1</v>
      </c>
      <c r="T44" s="0" t="n">
        <f aca="false">IF(ABS($Q$44*$S$44-$R$44)&lt;1,0,1)</f>
        <v>0</v>
      </c>
    </row>
    <row r="45" customFormat="false" ht="23.85" hidden="false" customHeight="false" outlineLevel="0" collapsed="false">
      <c r="A45" s="68" t="s">
        <v>2676</v>
      </c>
      <c r="B45" s="11" t="n">
        <f aca="false">$K$45</f>
        <v>9413</v>
      </c>
      <c r="C45" s="11" t="n">
        <f aca="false">$L$45</f>
        <v>9413</v>
      </c>
      <c r="D45" s="11" t="n">
        <f aca="false">B45-C45</f>
        <v>0</v>
      </c>
      <c r="E45" s="11" t="n">
        <v>5</v>
      </c>
      <c r="F45" s="117" t="str">
        <f aca="false">IF(OR(C45=0,AND(B45/C45&lt;=E45,B45/C45&gt;=1/E45)),"PASS","FAIL")</f>
        <v>PASS</v>
      </c>
      <c r="G45" s="15" t="s">
        <v>2677</v>
      </c>
      <c r="J45" s="0" t="s">
        <v>2676</v>
      </c>
      <c r="K45" s="109" t="n">
        <v>9413</v>
      </c>
      <c r="L45" s="109" t="n">
        <v>9413</v>
      </c>
      <c r="P45" s="0" t="s">
        <v>2678</v>
      </c>
      <c r="Q45" s="109" t="n">
        <v>985</v>
      </c>
      <c r="R45" s="109" t="n">
        <v>985</v>
      </c>
      <c r="S45" s="109" t="n">
        <v>1</v>
      </c>
      <c r="T45" s="0" t="n">
        <f aca="false">IF(ABS($Q$45*$S$45-$R$45)&lt;4.925,0,1)</f>
        <v>0</v>
      </c>
    </row>
    <row r="46" customFormat="false" ht="23.85" hidden="false" customHeight="false" outlineLevel="0" collapsed="false">
      <c r="A46" s="68" t="s">
        <v>2679</v>
      </c>
      <c r="B46" s="11" t="n">
        <f aca="false">$K$46</f>
        <v>313</v>
      </c>
      <c r="C46" s="11" t="n">
        <f aca="false">$L$46</f>
        <v>313</v>
      </c>
      <c r="D46" s="11" t="n">
        <f aca="false">B46-C46</f>
        <v>0</v>
      </c>
      <c r="E46" s="11" t="n">
        <v>5</v>
      </c>
      <c r="F46" s="117" t="str">
        <f aca="false">IF(OR(C46=0,AND(B46/C46&lt;=E46,B46/C46&gt;=1/E46)),"PASS","FAIL")</f>
        <v>PASS</v>
      </c>
      <c r="G46" s="15" t="s">
        <v>2680</v>
      </c>
      <c r="J46" s="0" t="s">
        <v>2679</v>
      </c>
      <c r="K46" s="109" t="n">
        <v>313</v>
      </c>
      <c r="L46" s="109" t="n">
        <v>313</v>
      </c>
      <c r="P46" s="0" t="s">
        <v>2681</v>
      </c>
      <c r="Q46" s="109" t="n">
        <v>12</v>
      </c>
      <c r="R46" s="109" t="n">
        <v>12</v>
      </c>
      <c r="S46" s="109" t="n">
        <v>1</v>
      </c>
      <c r="T46" s="0" t="n">
        <f aca="false">IF(ABS($Q$46*$S$46-$R$46)&lt;1,0,1)</f>
        <v>0</v>
      </c>
    </row>
    <row r="47" customFormat="false" ht="23.85" hidden="false" customHeight="false" outlineLevel="0" collapsed="false">
      <c r="A47" s="68" t="s">
        <v>2682</v>
      </c>
      <c r="B47" s="11" t="n">
        <f aca="false">$K$47</f>
        <v>160</v>
      </c>
      <c r="C47" s="11" t="n">
        <f aca="false">$L$47</f>
        <v>160</v>
      </c>
      <c r="D47" s="11" t="n">
        <f aca="false">B47-C47</f>
        <v>0</v>
      </c>
      <c r="E47" s="11" t="n">
        <v>5</v>
      </c>
      <c r="F47" s="117" t="str">
        <f aca="false">IF(OR(C47=0,AND(B47/C47&lt;=E47,B47/C47&gt;=1/E47)),"PASS","FAIL")</f>
        <v>PASS</v>
      </c>
      <c r="G47" s="15" t="s">
        <v>2683</v>
      </c>
      <c r="J47" s="0" t="s">
        <v>2682</v>
      </c>
      <c r="K47" s="109" t="n">
        <v>160</v>
      </c>
      <c r="L47" s="109" t="n">
        <v>160</v>
      </c>
      <c r="P47" s="0" t="s">
        <v>2684</v>
      </c>
      <c r="Q47" s="109" t="n">
        <v>595</v>
      </c>
      <c r="R47" s="109" t="n">
        <v>595</v>
      </c>
      <c r="S47" s="109" t="n">
        <v>1</v>
      </c>
      <c r="T47" s="0" t="n">
        <f aca="false">IF(ABS($Q$47*$S$47-$R$47)&lt;2.975,0,1)</f>
        <v>0</v>
      </c>
    </row>
    <row r="48" customFormat="false" ht="23.85" hidden="false" customHeight="false" outlineLevel="0" collapsed="false">
      <c r="A48" s="68" t="s">
        <v>2685</v>
      </c>
      <c r="B48" s="11" t="n">
        <f aca="false">$K$48</f>
        <v>985</v>
      </c>
      <c r="C48" s="11" t="n">
        <f aca="false">$L$48</f>
        <v>985.41</v>
      </c>
      <c r="D48" s="11" t="n">
        <f aca="false">B48-C48</f>
        <v>-0.409999999999968</v>
      </c>
      <c r="E48" s="11" t="n">
        <v>5</v>
      </c>
      <c r="F48" s="117" t="str">
        <f aca="false">IF(OR(C48=0,AND(B48/C48&lt;=E48,B48/C48&gt;=1/E48)),"PASS","FAIL")</f>
        <v>PASS</v>
      </c>
      <c r="G48" s="15" t="s">
        <v>2686</v>
      </c>
      <c r="J48" s="0" t="s">
        <v>2685</v>
      </c>
      <c r="K48" s="109" t="n">
        <v>985</v>
      </c>
      <c r="L48" s="109" t="n">
        <v>985.41</v>
      </c>
      <c r="P48" s="0" t="s">
        <v>2687</v>
      </c>
      <c r="Q48" s="109" t="n">
        <v>313</v>
      </c>
      <c r="R48" s="109" t="n">
        <v>313</v>
      </c>
      <c r="S48" s="109" t="n">
        <v>1</v>
      </c>
      <c r="T48" s="0" t="n">
        <f aca="false">IF(ABS($Q$48*$S$48-$R$48)&lt;1.565,0,1)</f>
        <v>0</v>
      </c>
    </row>
    <row r="49" customFormat="false" ht="23.85" hidden="false" customHeight="false" outlineLevel="0" collapsed="false">
      <c r="A49" s="68" t="s">
        <v>2688</v>
      </c>
      <c r="B49" s="11" t="n">
        <f aca="false">$K$49</f>
        <v>595</v>
      </c>
      <c r="C49" s="11" t="n">
        <f aca="false">$L$49</f>
        <v>595.03</v>
      </c>
      <c r="D49" s="11" t="n">
        <f aca="false">B49-C49</f>
        <v>-0.0299999999999727</v>
      </c>
      <c r="E49" s="11" t="n">
        <v>5</v>
      </c>
      <c r="F49" s="117" t="str">
        <f aca="false">IF(OR(C49=0,AND(B49/C49&lt;=E49,B49/C49&gt;=1/E49)),"PASS","FAIL")</f>
        <v>PASS</v>
      </c>
      <c r="G49" s="15" t="s">
        <v>2689</v>
      </c>
      <c r="J49" s="0" t="s">
        <v>2688</v>
      </c>
      <c r="K49" s="109" t="n">
        <v>595</v>
      </c>
      <c r="L49" s="109" t="n">
        <v>595.03</v>
      </c>
      <c r="P49" s="0" t="s">
        <v>2690</v>
      </c>
      <c r="Q49" s="109" t="n">
        <v>3</v>
      </c>
      <c r="R49" s="109" t="n">
        <v>3</v>
      </c>
      <c r="S49" s="109" t="n">
        <v>1</v>
      </c>
      <c r="T49" s="0" t="n">
        <f aca="false">IF(ABS($Q$49*$S$49-$R$49)&lt;1,0,1)</f>
        <v>0</v>
      </c>
    </row>
    <row r="50" customFormat="false" ht="23.85" hidden="false" customHeight="false" outlineLevel="0" collapsed="false">
      <c r="A50" s="68" t="s">
        <v>2691</v>
      </c>
      <c r="B50" s="11" t="n">
        <f aca="false">$K$50</f>
        <v>313</v>
      </c>
      <c r="C50" s="11" t="n">
        <f aca="false">$L$50</f>
        <v>313</v>
      </c>
      <c r="D50" s="11" t="n">
        <f aca="false">B50-C50</f>
        <v>0</v>
      </c>
      <c r="E50" s="11" t="n">
        <v>5</v>
      </c>
      <c r="F50" s="117" t="str">
        <f aca="false">IF(OR(C50=0,AND(B50/C50&lt;=E50,B50/C50&gt;=1/E50)),"PASS","FAIL")</f>
        <v>PASS</v>
      </c>
      <c r="G50" s="15" t="s">
        <v>2692</v>
      </c>
      <c r="J50" s="0" t="s">
        <v>2691</v>
      </c>
      <c r="K50" s="109" t="n">
        <v>313</v>
      </c>
      <c r="L50" s="109" t="n">
        <v>313</v>
      </c>
      <c r="P50" s="0" t="s">
        <v>2693</v>
      </c>
      <c r="Q50" s="109" t="n">
        <v>500</v>
      </c>
      <c r="R50" s="109" t="n">
        <v>500</v>
      </c>
      <c r="S50" s="109" t="n">
        <v>1</v>
      </c>
      <c r="T50" s="0" t="n">
        <f aca="false">IF(ABS($Q$50*$S$50-$R$50)&lt;2.5,0,1)</f>
        <v>0</v>
      </c>
    </row>
    <row r="51" customFormat="false" ht="23.85" hidden="false" customHeight="false" outlineLevel="0" collapsed="false">
      <c r="A51" s="68" t="s">
        <v>2694</v>
      </c>
      <c r="B51" s="11" t="n">
        <f aca="false">$K$51</f>
        <v>500</v>
      </c>
      <c r="C51" s="11" t="n">
        <f aca="false">$L$51</f>
        <v>985.41</v>
      </c>
      <c r="D51" s="11" t="n">
        <f aca="false">B51-C51</f>
        <v>-485.41</v>
      </c>
      <c r="E51" s="11" t="n">
        <v>5</v>
      </c>
      <c r="F51" s="117" t="str">
        <f aca="false">IF(OR(C51=0,AND(B51/C51&lt;=E51,B51/C51&gt;=1/E51)),"PASS","FAIL")</f>
        <v>PASS</v>
      </c>
      <c r="G51" s="15" t="s">
        <v>2695</v>
      </c>
      <c r="J51" s="0" t="s">
        <v>2694</v>
      </c>
      <c r="K51" s="109" t="n">
        <v>500</v>
      </c>
      <c r="L51" s="109" t="n">
        <v>985.41</v>
      </c>
      <c r="P51" s="0" t="s">
        <v>2696</v>
      </c>
      <c r="Q51" s="109" t="n">
        <v>800</v>
      </c>
      <c r="R51" s="109" t="n">
        <v>800</v>
      </c>
      <c r="S51" s="109" t="n">
        <v>1</v>
      </c>
      <c r="T51" s="0" t="n">
        <f aca="false">IF(ABS($Q$51*$S$51-$R$51)&lt;4,0,1)</f>
        <v>0</v>
      </c>
    </row>
    <row r="52" customFormat="false" ht="23.85" hidden="false" customHeight="false" outlineLevel="0" collapsed="false">
      <c r="A52" s="68" t="s">
        <v>2697</v>
      </c>
      <c r="B52" s="11" t="n">
        <f aca="false">$K$52</f>
        <v>424</v>
      </c>
      <c r="C52" s="11" t="n">
        <f aca="false">$L$52</f>
        <v>424.3</v>
      </c>
      <c r="D52" s="11" t="n">
        <f aca="false">B52-C52</f>
        <v>-0.300000000000011</v>
      </c>
      <c r="E52" s="11" t="n">
        <v>5</v>
      </c>
      <c r="F52" s="117" t="str">
        <f aca="false">IF(OR(C52=0,AND(B52/C52&lt;=E52,B52/C52&gt;=1/E52)),"PASS","FAIL")</f>
        <v>PASS</v>
      </c>
      <c r="G52" s="15" t="s">
        <v>2698</v>
      </c>
      <c r="J52" s="0" t="s">
        <v>2697</v>
      </c>
      <c r="K52" s="109" t="n">
        <v>424</v>
      </c>
      <c r="L52" s="109" t="n">
        <v>424.3</v>
      </c>
      <c r="P52" s="0" t="s">
        <v>2699</v>
      </c>
      <c r="Q52" s="109" t="n">
        <v>424</v>
      </c>
      <c r="R52" s="109" t="n">
        <v>424</v>
      </c>
      <c r="S52" s="109" t="n">
        <v>1</v>
      </c>
      <c r="T52" s="0" t="n">
        <f aca="false">IF(ABS($Q$52*$S$52-$R$52)&lt;2.12,0,1)</f>
        <v>0</v>
      </c>
    </row>
    <row r="53" customFormat="false" ht="23.85" hidden="false" customHeight="false" outlineLevel="0" collapsed="false">
      <c r="A53" s="68" t="s">
        <v>2700</v>
      </c>
      <c r="B53" s="11" t="n">
        <f aca="false">$K$53</f>
        <v>18</v>
      </c>
      <c r="C53" s="11" t="n">
        <f aca="false">$L$53</f>
        <v>18</v>
      </c>
      <c r="D53" s="11" t="n">
        <f aca="false">B53-C53</f>
        <v>0</v>
      </c>
      <c r="E53" s="11" t="n">
        <v>5</v>
      </c>
      <c r="F53" s="117" t="str">
        <f aca="false">IF(OR(C53=0,AND(B53/C53&lt;=E53,B53/C53&gt;=1/E53)),"PASS","FAIL")</f>
        <v>PASS</v>
      </c>
      <c r="G53" s="15" t="s">
        <v>2701</v>
      </c>
      <c r="J53" s="0" t="s">
        <v>2700</v>
      </c>
      <c r="K53" s="109" t="n">
        <v>18</v>
      </c>
      <c r="L53" s="109" t="n">
        <v>18</v>
      </c>
      <c r="P53" s="0" t="s">
        <v>2702</v>
      </c>
      <c r="Q53" s="109" t="n">
        <v>200</v>
      </c>
      <c r="R53" s="109" t="n">
        <v>40000</v>
      </c>
      <c r="S53" s="109" t="n">
        <v>200</v>
      </c>
      <c r="T53" s="0" t="n">
        <f aca="false">IF(ABS($Q$53*$S$53-$R$53)&lt;200,0,1)</f>
        <v>0</v>
      </c>
    </row>
    <row r="54" customFormat="false" ht="23.85" hidden="false" customHeight="false" outlineLevel="0" collapsed="false">
      <c r="A54" s="68" t="s">
        <v>2703</v>
      </c>
      <c r="B54" s="11" t="n">
        <f aca="false">$K$54</f>
        <v>424</v>
      </c>
      <c r="C54" s="11" t="n">
        <f aca="false">$L$54</f>
        <v>424.3</v>
      </c>
      <c r="D54" s="11" t="n">
        <f aca="false">B54-C54</f>
        <v>-0.300000000000011</v>
      </c>
      <c r="E54" s="11" t="n">
        <v>5</v>
      </c>
      <c r="F54" s="117" t="str">
        <f aca="false">IF(OR(C54=0,AND(B54/C54&lt;=E54,B54/C54&gt;=1/E54)),"PASS","FAIL")</f>
        <v>PASS</v>
      </c>
      <c r="G54" s="15" t="s">
        <v>2704</v>
      </c>
      <c r="J54" s="0" t="s">
        <v>2703</v>
      </c>
      <c r="K54" s="109" t="n">
        <v>424</v>
      </c>
      <c r="L54" s="109" t="n">
        <v>424.3</v>
      </c>
      <c r="P54" s="0" t="s">
        <v>2705</v>
      </c>
      <c r="Q54" s="109" t="n">
        <v>95</v>
      </c>
      <c r="R54" s="109" t="n">
        <v>95</v>
      </c>
      <c r="S54" s="109" t="n">
        <v>1</v>
      </c>
      <c r="T54" s="0" t="n">
        <f aca="false">IF(ABS($Q$54*$S$54-$R$54)&lt;1,0,1)</f>
        <v>0</v>
      </c>
    </row>
    <row r="55" customFormat="false" ht="23.85" hidden="false" customHeight="false" outlineLevel="0" collapsed="false">
      <c r="A55" s="68" t="s">
        <v>2706</v>
      </c>
      <c r="B55" s="11" t="n">
        <f aca="false">$K$55</f>
        <v>280</v>
      </c>
      <c r="C55" s="11" t="n">
        <f aca="false">$L$55</f>
        <v>280</v>
      </c>
      <c r="D55" s="11" t="n">
        <f aca="false">B55-C55</f>
        <v>0</v>
      </c>
      <c r="E55" s="11" t="n">
        <v>5</v>
      </c>
      <c r="F55" s="117" t="str">
        <f aca="false">IF(OR(C55=0,AND(B55/C55&lt;=E55,B55/C55&gt;=1/E55)),"PASS","FAIL")</f>
        <v>PASS</v>
      </c>
      <c r="G55" s="15" t="s">
        <v>2707</v>
      </c>
      <c r="J55" s="0" t="s">
        <v>2706</v>
      </c>
      <c r="K55" s="109" t="n">
        <v>280</v>
      </c>
      <c r="L55" s="109" t="n">
        <v>280</v>
      </c>
      <c r="P55" s="0" t="s">
        <v>2708</v>
      </c>
      <c r="Q55" s="109" t="n">
        <v>18</v>
      </c>
      <c r="R55" s="109" t="n">
        <v>18</v>
      </c>
      <c r="S55" s="109" t="n">
        <v>1</v>
      </c>
      <c r="T55" s="0" t="n">
        <f aca="false">IF(ABS($Q$55*$S$55-$R$55)&lt;1,0,1)</f>
        <v>0</v>
      </c>
    </row>
    <row r="56" customFormat="false" ht="23.85" hidden="false" customHeight="false" outlineLevel="0" collapsed="false">
      <c r="A56" s="68" t="s">
        <v>2709</v>
      </c>
      <c r="B56" s="11" t="n">
        <f aca="false">$K$56</f>
        <v>250</v>
      </c>
      <c r="C56" s="11" t="n">
        <f aca="false">$L$56</f>
        <v>250.34</v>
      </c>
      <c r="D56" s="11" t="n">
        <f aca="false">B56-C56</f>
        <v>-0.340000000000003</v>
      </c>
      <c r="E56" s="11" t="n">
        <v>5</v>
      </c>
      <c r="F56" s="117" t="str">
        <f aca="false">IF(OR(C56=0,AND(B56/C56&lt;=E56,B56/C56&gt;=1/E56)),"PASS","FAIL")</f>
        <v>PASS</v>
      </c>
      <c r="G56" s="15" t="s">
        <v>2710</v>
      </c>
      <c r="J56" s="0" t="s">
        <v>2709</v>
      </c>
      <c r="K56" s="109" t="n">
        <v>250</v>
      </c>
      <c r="L56" s="109" t="n">
        <v>250.34</v>
      </c>
      <c r="P56" s="0" t="s">
        <v>2711</v>
      </c>
      <c r="Q56" s="109" t="n">
        <v>3312</v>
      </c>
      <c r="R56" s="109" t="n">
        <v>6624</v>
      </c>
      <c r="S56" s="109" t="n">
        <v>2</v>
      </c>
      <c r="T56" s="0" t="n">
        <f aca="false">IF(ABS($Q$56*$S$56-$R$56)&lt;33.12,0,1)</f>
        <v>0</v>
      </c>
    </row>
    <row r="57" customFormat="false" ht="23.85" hidden="false" customHeight="false" outlineLevel="0" collapsed="false">
      <c r="A57" s="68" t="s">
        <v>2712</v>
      </c>
      <c r="B57" s="11" t="n">
        <f aca="false">$K$57</f>
        <v>76</v>
      </c>
      <c r="C57" s="11" t="n">
        <f aca="false">$L$57</f>
        <v>75.75</v>
      </c>
      <c r="D57" s="11" t="n">
        <f aca="false">B57-C57</f>
        <v>0.25</v>
      </c>
      <c r="E57" s="11" t="n">
        <v>5</v>
      </c>
      <c r="F57" s="117" t="str">
        <f aca="false">IF(OR(C57=0,AND(B57/C57&lt;=E57,B57/C57&gt;=1/E57)),"PASS","FAIL")</f>
        <v>PASS</v>
      </c>
      <c r="G57" s="15" t="s">
        <v>2713</v>
      </c>
      <c r="J57" s="0" t="s">
        <v>2712</v>
      </c>
      <c r="K57" s="109" t="n">
        <v>76</v>
      </c>
      <c r="L57" s="109" t="n">
        <v>75.75</v>
      </c>
      <c r="P57" s="0" t="s">
        <v>2714</v>
      </c>
      <c r="Q57" s="109" t="n">
        <v>424</v>
      </c>
      <c r="R57" s="109" t="n">
        <v>424</v>
      </c>
      <c r="S57" s="109" t="n">
        <v>1</v>
      </c>
      <c r="T57" s="0" t="n">
        <f aca="false">IF(ABS($Q$57*$S$57-$R$57)&lt;2.12,0,1)</f>
        <v>0</v>
      </c>
    </row>
    <row r="58" customFormat="false" ht="23.85" hidden="false" customHeight="false" outlineLevel="0" collapsed="false">
      <c r="A58" s="68" t="s">
        <v>2715</v>
      </c>
      <c r="B58" s="11" t="n">
        <f aca="false">$K$58</f>
        <v>40</v>
      </c>
      <c r="C58" s="11" t="n">
        <f aca="false">$L$58</f>
        <v>35</v>
      </c>
      <c r="D58" s="11" t="n">
        <f aca="false">B58-C58</f>
        <v>5</v>
      </c>
      <c r="E58" s="11" t="n">
        <v>5</v>
      </c>
      <c r="F58" s="117" t="str">
        <f aca="false">IF(OR(C58=0,AND(B58/C58&lt;=E58,B58/C58&gt;=1/E58)),"PASS","FAIL")</f>
        <v>PASS</v>
      </c>
      <c r="G58" s="15" t="s">
        <v>2716</v>
      </c>
      <c r="J58" s="0" t="s">
        <v>2715</v>
      </c>
      <c r="K58" s="109" t="n">
        <v>40</v>
      </c>
      <c r="L58" s="109" t="n">
        <v>35</v>
      </c>
      <c r="P58" s="0" t="s">
        <v>2717</v>
      </c>
      <c r="Q58" s="109" t="n">
        <v>9</v>
      </c>
      <c r="R58" s="109" t="n">
        <v>9</v>
      </c>
      <c r="S58" s="109" t="n">
        <v>1</v>
      </c>
      <c r="T58" s="0" t="n">
        <f aca="false">IF(ABS($Q$58*$S$58-$R$58)&lt;1,0,1)</f>
        <v>0</v>
      </c>
    </row>
    <row r="59" customFormat="false" ht="23.85" hidden="false" customHeight="false" outlineLevel="0" collapsed="false">
      <c r="A59" s="68" t="s">
        <v>2718</v>
      </c>
      <c r="B59" s="11" t="n">
        <f aca="false">$K$59</f>
        <v>45</v>
      </c>
      <c r="C59" s="11" t="n">
        <f aca="false">$L$59</f>
        <v>45</v>
      </c>
      <c r="D59" s="11" t="n">
        <f aca="false">B59-C59</f>
        <v>0</v>
      </c>
      <c r="E59" s="11" t="n">
        <v>5</v>
      </c>
      <c r="F59" s="117" t="str">
        <f aca="false">IF(OR(C59=0,AND(B59/C59&lt;=E59,B59/C59&gt;=1/E59)),"PASS","FAIL")</f>
        <v>PASS</v>
      </c>
      <c r="G59" s="15" t="s">
        <v>2719</v>
      </c>
      <c r="J59" s="0" t="s">
        <v>2718</v>
      </c>
      <c r="K59" s="109" t="n">
        <v>45</v>
      </c>
      <c r="L59" s="109" t="n">
        <v>45</v>
      </c>
      <c r="P59" s="0" t="s">
        <v>2720</v>
      </c>
      <c r="Q59" s="109" t="n">
        <v>200</v>
      </c>
      <c r="R59" s="109" t="n">
        <v>200</v>
      </c>
      <c r="S59" s="109" t="n">
        <v>1</v>
      </c>
      <c r="T59" s="0" t="n">
        <f aca="false">IF(ABS($Q$59*$S$59-$R$59)&lt;1,0,1)</f>
        <v>0</v>
      </c>
    </row>
    <row r="60" customFormat="false" ht="23.85" hidden="false" customHeight="false" outlineLevel="0" collapsed="false">
      <c r="A60" s="68" t="s">
        <v>2721</v>
      </c>
      <c r="B60" s="11" t="n">
        <f aca="false">$K$60</f>
        <v>345</v>
      </c>
      <c r="C60" s="11" t="n">
        <f aca="false">$L$60</f>
        <v>120.6</v>
      </c>
      <c r="D60" s="11" t="n">
        <f aca="false">B60-C60</f>
        <v>224.4</v>
      </c>
      <c r="E60" s="11" t="n">
        <v>5</v>
      </c>
      <c r="F60" s="117" t="str">
        <f aca="false">IF(OR(C60=0,AND(B60/C60&lt;=E60,B60/C60&gt;=1/E60)),"PASS","FAIL")</f>
        <v>PASS</v>
      </c>
      <c r="G60" s="15" t="s">
        <v>2722</v>
      </c>
      <c r="J60" s="0" t="s">
        <v>2721</v>
      </c>
      <c r="K60" s="109" t="n">
        <v>345</v>
      </c>
      <c r="L60" s="109" t="n">
        <v>120.6</v>
      </c>
      <c r="P60" s="0" t="s">
        <v>2723</v>
      </c>
      <c r="Q60" s="109" t="n">
        <v>9</v>
      </c>
      <c r="R60" s="109" t="n">
        <v>9</v>
      </c>
      <c r="S60" s="109" t="n">
        <v>1</v>
      </c>
      <c r="T60" s="0" t="n">
        <f aca="false">IF(ABS($Q$60*$S$60-$R$60)&lt;1,0,1)</f>
        <v>0</v>
      </c>
    </row>
    <row r="61" customFormat="false" ht="23.85" hidden="false" customHeight="false" outlineLevel="0" collapsed="false">
      <c r="A61" s="68" t="s">
        <v>2724</v>
      </c>
      <c r="B61" s="11" t="n">
        <f aca="false">$K$61</f>
        <v>40</v>
      </c>
      <c r="C61" s="11" t="n">
        <f aca="false">$L$61</f>
        <v>35</v>
      </c>
      <c r="D61" s="11" t="n">
        <f aca="false">B61-C61</f>
        <v>5</v>
      </c>
      <c r="E61" s="11" t="n">
        <v>5</v>
      </c>
      <c r="F61" s="117" t="str">
        <f aca="false">IF(OR(C61=0,AND(B61/C61&lt;=E61,B61/C61&gt;=1/E61)),"PASS","FAIL")</f>
        <v>PASS</v>
      </c>
      <c r="G61" s="15" t="s">
        <v>2725</v>
      </c>
      <c r="J61" s="0" t="s">
        <v>2724</v>
      </c>
      <c r="K61" s="109" t="n">
        <v>40</v>
      </c>
      <c r="L61" s="109" t="n">
        <v>35</v>
      </c>
      <c r="P61" s="0" t="s">
        <v>2726</v>
      </c>
      <c r="Q61" s="109" t="n">
        <v>200</v>
      </c>
      <c r="R61" s="109" t="n">
        <v>200</v>
      </c>
      <c r="S61" s="109" t="n">
        <v>1</v>
      </c>
      <c r="T61" s="0" t="n">
        <f aca="false">IF(ABS($Q$61*$S$61-$R$61)&lt;1,0,1)</f>
        <v>0</v>
      </c>
    </row>
    <row r="62" customFormat="false" ht="23.85" hidden="false" customHeight="false" outlineLevel="0" collapsed="false">
      <c r="A62" s="68" t="s">
        <v>2727</v>
      </c>
      <c r="B62" s="11" t="n">
        <f aca="false">$K$62</f>
        <v>808885</v>
      </c>
      <c r="C62" s="11" t="n">
        <f aca="false">$L$62</f>
        <v>808885</v>
      </c>
      <c r="D62" s="11" t="n">
        <f aca="false">B62-C62</f>
        <v>0</v>
      </c>
      <c r="E62" s="11" t="n">
        <v>8088.85</v>
      </c>
      <c r="F62" s="117" t="str">
        <f aca="false">IF(ABS(D62)&lt;E62,"PASS","FAIL")</f>
        <v>PASS</v>
      </c>
      <c r="G62" s="15" t="s">
        <v>2728</v>
      </c>
      <c r="J62" s="0" t="s">
        <v>2727</v>
      </c>
      <c r="K62" s="109" t="n">
        <v>808885</v>
      </c>
      <c r="L62" s="109" t="n">
        <v>808885</v>
      </c>
      <c r="P62" s="0" t="s">
        <v>2729</v>
      </c>
      <c r="Q62" s="109" t="n">
        <v>80</v>
      </c>
      <c r="R62" s="109" t="n">
        <v>80</v>
      </c>
      <c r="S62" s="109" t="n">
        <v>1</v>
      </c>
      <c r="T62" s="0" t="n">
        <f aca="false">IF(ABS($Q$62*$S$62-$R$62)&lt;1,0,1)</f>
        <v>0</v>
      </c>
    </row>
    <row r="63" customFormat="false" ht="15" hidden="false" customHeight="false" outlineLevel="0" collapsed="false">
      <c r="P63" s="0" t="s">
        <v>2730</v>
      </c>
      <c r="Q63" s="109" t="n">
        <v>152</v>
      </c>
      <c r="R63" s="109" t="n">
        <v>152</v>
      </c>
      <c r="S63" s="109" t="n">
        <v>1</v>
      </c>
      <c r="T63" s="0" t="n">
        <f aca="false">IF(ABS($Q$63*$S$63-$R$63)&lt;1,0,1)</f>
        <v>0</v>
      </c>
    </row>
    <row r="64" customFormat="false" ht="15" hidden="false" customHeight="false" outlineLevel="0" collapsed="false">
      <c r="A64" s="8" t="s">
        <v>2731</v>
      </c>
      <c r="B64" s="8"/>
      <c r="C64" s="8"/>
      <c r="D64" s="8"/>
      <c r="E64" s="8"/>
      <c r="F64" s="8"/>
      <c r="G64" s="8"/>
      <c r="P64" s="0" t="s">
        <v>2732</v>
      </c>
      <c r="Q64" s="109" t="n">
        <v>80</v>
      </c>
      <c r="R64" s="109" t="n">
        <v>80</v>
      </c>
      <c r="S64" s="109" t="n">
        <v>1</v>
      </c>
      <c r="T64" s="0" t="n">
        <f aca="false">IF(ABS($Q$64*$S$64-$R$64)&lt;1,0,1)</f>
        <v>0</v>
      </c>
    </row>
    <row r="65" customFormat="false" ht="32.8" hidden="false" customHeight="false" outlineLevel="0" collapsed="false">
      <c r="A65" s="68" t="s">
        <v>2733</v>
      </c>
      <c r="B65" s="11" t="n">
        <f aca="false">$K$65*$M$65</f>
        <v>1</v>
      </c>
      <c r="C65" s="11" t="n">
        <f aca="false">$L$65</f>
        <v>0.8</v>
      </c>
      <c r="D65" s="11" t="n">
        <f aca="false">B65-C65</f>
        <v>0.2</v>
      </c>
      <c r="E65" s="11" t="n">
        <v>0</v>
      </c>
      <c r="F65" s="117" t="str">
        <f aca="false">IF(B65&gt;=C65-E65,"PASS","FAIL")</f>
        <v>PASS</v>
      </c>
      <c r="G65" s="15" t="s">
        <v>2734</v>
      </c>
      <c r="J65" s="0" t="s">
        <v>2733</v>
      </c>
      <c r="K65" s="109" t="n">
        <v>0.0714285714285714</v>
      </c>
      <c r="L65" s="109" t="n">
        <v>0.8</v>
      </c>
      <c r="M65" s="109" t="n">
        <v>14</v>
      </c>
      <c r="P65" s="0" t="s">
        <v>2735</v>
      </c>
      <c r="Q65" s="109" t="n">
        <v>80</v>
      </c>
      <c r="R65" s="109" t="n">
        <v>80</v>
      </c>
      <c r="S65" s="109" t="n">
        <v>1</v>
      </c>
      <c r="T65" s="0" t="n">
        <f aca="false">IF(ABS($Q$65*$S$65-$R$65)&lt;1,0,1)</f>
        <v>0</v>
      </c>
    </row>
    <row r="66" customFormat="false" ht="23.85" hidden="false" customHeight="false" outlineLevel="0" collapsed="false">
      <c r="A66" s="68" t="s">
        <v>2736</v>
      </c>
      <c r="B66" s="11" t="n">
        <f aca="false">$K$66*$M$66</f>
        <v>1</v>
      </c>
      <c r="C66" s="11" t="n">
        <f aca="false">$L$66</f>
        <v>0.8</v>
      </c>
      <c r="D66" s="11" t="n">
        <f aca="false">B66-C66</f>
        <v>0.2</v>
      </c>
      <c r="E66" s="11" t="n">
        <v>0</v>
      </c>
      <c r="F66" s="117" t="str">
        <f aca="false">IF(B66&gt;=C66-E66,"PASS","FAIL")</f>
        <v>PASS</v>
      </c>
      <c r="G66" s="15" t="s">
        <v>2737</v>
      </c>
      <c r="J66" s="0" t="s">
        <v>2736</v>
      </c>
      <c r="K66" s="109" t="n">
        <v>0.0714285714285714</v>
      </c>
      <c r="L66" s="109" t="n">
        <v>0.8</v>
      </c>
      <c r="M66" s="109" t="n">
        <v>14</v>
      </c>
      <c r="P66" s="0" t="s">
        <v>2738</v>
      </c>
      <c r="Q66" s="109" t="n">
        <v>900</v>
      </c>
      <c r="R66" s="109" t="n">
        <v>11700</v>
      </c>
      <c r="S66" s="109" t="n">
        <v>13</v>
      </c>
      <c r="T66" s="0" t="n">
        <f aca="false">IF(ABS($Q$66*$S$66-$R$66)&lt;58.5,0,1)</f>
        <v>0</v>
      </c>
    </row>
    <row r="67" customFormat="false" ht="64.15" hidden="false" customHeight="false" outlineLevel="0" collapsed="false">
      <c r="A67" s="68" t="s">
        <v>2739</v>
      </c>
      <c r="B67" s="11" t="n">
        <f aca="false">$K$67</f>
        <v>0</v>
      </c>
      <c r="C67" s="11" t="n">
        <f aca="false">$L$67</f>
        <v>0</v>
      </c>
      <c r="D67" s="11" t="n">
        <f aca="false">B67-C67</f>
        <v>0</v>
      </c>
      <c r="E67" s="11" t="n">
        <v>0</v>
      </c>
      <c r="F67" s="117" t="str">
        <f aca="false">IF(B67&lt;=C67+E67,"PASS","FAIL")</f>
        <v>PASS</v>
      </c>
      <c r="G67" s="15" t="s">
        <v>2740</v>
      </c>
      <c r="J67" s="0" t="s">
        <v>2739</v>
      </c>
      <c r="K67" s="109" t="n">
        <v>0</v>
      </c>
      <c r="L67" s="109" t="n">
        <v>0</v>
      </c>
      <c r="P67" s="0" t="s">
        <v>2741</v>
      </c>
      <c r="Q67" s="109" t="n">
        <v>900</v>
      </c>
      <c r="R67" s="109" t="n">
        <v>900</v>
      </c>
      <c r="S67" s="109" t="n">
        <v>1</v>
      </c>
      <c r="T67" s="0" t="n">
        <f aca="false">IF(ABS($Q$67*$S$67-$R$67)&lt;4.5,0,1)</f>
        <v>0</v>
      </c>
    </row>
    <row r="68" customFormat="false" ht="43.25" hidden="false" customHeight="false" outlineLevel="0" collapsed="false">
      <c r="A68" s="68" t="s">
        <v>2742</v>
      </c>
      <c r="B68" s="11" t="n">
        <f aca="false">$K$68</f>
        <v>0</v>
      </c>
      <c r="C68" s="11" t="n">
        <f aca="false">$L$68</f>
        <v>0</v>
      </c>
      <c r="D68" s="11" t="n">
        <f aca="false">B68-C68</f>
        <v>0</v>
      </c>
      <c r="E68" s="11" t="n">
        <v>0</v>
      </c>
      <c r="F68" s="117" t="str">
        <f aca="false">IF(B68&lt;=C68+E68,"PASS","FAIL")</f>
        <v>PASS</v>
      </c>
      <c r="G68" s="15" t="s">
        <v>2743</v>
      </c>
      <c r="J68" s="0" t="s">
        <v>2742</v>
      </c>
      <c r="K68" s="109" t="n">
        <v>0</v>
      </c>
      <c r="L68" s="109" t="n">
        <v>0</v>
      </c>
      <c r="P68" s="0" t="s">
        <v>2744</v>
      </c>
      <c r="Q68" s="109" t="n">
        <v>900</v>
      </c>
      <c r="R68" s="109" t="n">
        <v>2700</v>
      </c>
      <c r="S68" s="109" t="n">
        <v>3</v>
      </c>
      <c r="T68" s="0" t="n">
        <f aca="false">IF(ABS($Q$68*$S$68-$R$68)&lt;13.5,0,1)</f>
        <v>0</v>
      </c>
    </row>
    <row r="69" customFormat="false" ht="22.35" hidden="false" customHeight="false" outlineLevel="0" collapsed="false">
      <c r="A69" s="68" t="s">
        <v>2745</v>
      </c>
      <c r="B69" s="11" t="n">
        <f aca="false">$K$69</f>
        <v>0</v>
      </c>
      <c r="C69" s="11" t="n">
        <f aca="false">$L$69</f>
        <v>0</v>
      </c>
      <c r="D69" s="11" t="n">
        <f aca="false">B69-C69</f>
        <v>0</v>
      </c>
      <c r="E69" s="11" t="n">
        <v>0</v>
      </c>
      <c r="F69" s="117" t="str">
        <f aca="false">IF(B69&lt;=C69,"PASS","FAIL")</f>
        <v>PASS</v>
      </c>
      <c r="G69" s="15" t="s">
        <v>2746</v>
      </c>
      <c r="J69" s="0" t="s">
        <v>2745</v>
      </c>
      <c r="K69" s="109" t="n">
        <v>0</v>
      </c>
      <c r="L69" s="109" t="n">
        <v>0</v>
      </c>
      <c r="P69" s="0" t="s">
        <v>2747</v>
      </c>
      <c r="Q69" s="109" t="n">
        <v>1300</v>
      </c>
      <c r="R69" s="109" t="n">
        <v>1300</v>
      </c>
      <c r="S69" s="109" t="n">
        <v>1</v>
      </c>
      <c r="T69" s="0" t="n">
        <f aca="false">IF(ABS($Q$69*$S$69-$R$69)&lt;6.5,0,1)</f>
        <v>0</v>
      </c>
    </row>
    <row r="70" customFormat="false" ht="22.35" hidden="false" customHeight="false" outlineLevel="0" collapsed="false">
      <c r="A70" s="68" t="s">
        <v>2748</v>
      </c>
      <c r="B70" s="11" t="n">
        <f aca="false">$K$70</f>
        <v>1.457</v>
      </c>
      <c r="C70" s="11" t="n">
        <f aca="false">$L$70</f>
        <v>3</v>
      </c>
      <c r="D70" s="11" t="n">
        <f aca="false">B70-C70</f>
        <v>-1.543</v>
      </c>
      <c r="E70" s="11" t="n">
        <v>0</v>
      </c>
      <c r="F70" s="117" t="str">
        <f aca="false">IF(B70&lt;=C70+E70,"PASS","FAIL")</f>
        <v>PASS</v>
      </c>
      <c r="G70" s="15" t="s">
        <v>2749</v>
      </c>
      <c r="J70" s="0" t="s">
        <v>2748</v>
      </c>
      <c r="K70" s="109" t="n">
        <v>1.457</v>
      </c>
      <c r="L70" s="109" t="n">
        <v>3</v>
      </c>
      <c r="P70" s="0" t="s">
        <v>2750</v>
      </c>
      <c r="Q70" s="109" t="n">
        <v>700</v>
      </c>
      <c r="R70" s="109" t="n">
        <v>11900</v>
      </c>
      <c r="S70" s="109" t="n">
        <v>17</v>
      </c>
      <c r="T70" s="0" t="n">
        <f aca="false">IF(ABS($Q$70*$S$70-$R$70)&lt;59.5,0,1)</f>
        <v>0</v>
      </c>
    </row>
    <row r="71" customFormat="false" ht="53.7" hidden="false" customHeight="false" outlineLevel="0" collapsed="false">
      <c r="A71" s="68" t="s">
        <v>2751</v>
      </c>
      <c r="B71" s="11" t="n">
        <f aca="false">$K$71</f>
        <v>35.9</v>
      </c>
      <c r="C71" s="11" t="n">
        <f aca="false">$L$71</f>
        <v>54.4</v>
      </c>
      <c r="D71" s="11" t="n">
        <f aca="false">B71-C71</f>
        <v>-18.5</v>
      </c>
      <c r="E71" s="11" t="n">
        <v>0</v>
      </c>
      <c r="F71" s="117" t="str">
        <f aca="false">IF(B71&lt;=C71+E71,"PASS","FAIL")</f>
        <v>PASS</v>
      </c>
      <c r="G71" s="15" t="s">
        <v>2752</v>
      </c>
      <c r="J71" s="0" t="s">
        <v>2751</v>
      </c>
      <c r="K71" s="109" t="n">
        <v>35.9</v>
      </c>
      <c r="L71" s="109" t="n">
        <v>54.4</v>
      </c>
      <c r="P71" s="0" t="s">
        <v>2753</v>
      </c>
      <c r="Q71" s="109" t="n">
        <v>280</v>
      </c>
      <c r="R71" s="109" t="n">
        <v>280</v>
      </c>
      <c r="S71" s="109" t="n">
        <v>1</v>
      </c>
      <c r="T71" s="0" t="n">
        <f aca="false">IF(ABS($Q$71*$S$71-$R$71)&lt;1.4,0,1)</f>
        <v>0</v>
      </c>
    </row>
    <row r="72" customFormat="false" ht="32.8" hidden="false" customHeight="false" outlineLevel="0" collapsed="false">
      <c r="A72" s="68" t="s">
        <v>2754</v>
      </c>
      <c r="B72" s="11" t="n">
        <f aca="false">$K$72</f>
        <v>661</v>
      </c>
      <c r="C72" s="11" t="n">
        <f aca="false">$L$72</f>
        <v>1814</v>
      </c>
      <c r="D72" s="11" t="n">
        <f aca="false">B72-C72</f>
        <v>-1153</v>
      </c>
      <c r="E72" s="11" t="n">
        <v>0</v>
      </c>
      <c r="F72" s="117" t="str">
        <f aca="false">IF(B72&lt;=C72+E72,"PASS","FAIL")</f>
        <v>PASS</v>
      </c>
      <c r="G72" s="15" t="s">
        <v>2755</v>
      </c>
      <c r="J72" s="0" t="s">
        <v>2754</v>
      </c>
      <c r="K72" s="109" t="n">
        <v>661</v>
      </c>
      <c r="L72" s="109" t="n">
        <v>1814</v>
      </c>
      <c r="P72" s="0" t="s">
        <v>2756</v>
      </c>
      <c r="Q72" s="109" t="n">
        <v>80</v>
      </c>
      <c r="R72" s="109" t="n">
        <v>80</v>
      </c>
      <c r="S72" s="109" t="n">
        <v>1</v>
      </c>
      <c r="T72" s="0" t="n">
        <f aca="false">IF(ABS($Q$72*$S$72-$R$72)&lt;1,0,1)</f>
        <v>0</v>
      </c>
    </row>
    <row r="73" customFormat="false" ht="15" hidden="false" customHeight="false" outlineLevel="0" collapsed="false">
      <c r="P73" s="0" t="s">
        <v>2757</v>
      </c>
      <c r="Q73" s="109" t="n">
        <v>30</v>
      </c>
      <c r="R73" s="109" t="n">
        <v>30</v>
      </c>
      <c r="S73" s="109" t="n">
        <v>1</v>
      </c>
      <c r="T73" s="0" t="n">
        <f aca="false">IF(ABS($Q$73*$S$73-$R$73)&lt;1,0,1)</f>
        <v>0</v>
      </c>
    </row>
    <row r="74" customFormat="false" ht="15" hidden="false" customHeight="false" outlineLevel="0" collapsed="false">
      <c r="A74" s="8" t="s">
        <v>2758</v>
      </c>
      <c r="B74" s="8"/>
      <c r="C74" s="8"/>
      <c r="D74" s="8"/>
      <c r="E74" s="8"/>
      <c r="F74" s="8"/>
      <c r="G74" s="8"/>
      <c r="P74" s="0" t="s">
        <v>2759</v>
      </c>
      <c r="Q74" s="109" t="n">
        <v>152</v>
      </c>
      <c r="R74" s="109" t="n">
        <v>152</v>
      </c>
      <c r="S74" s="109" t="n">
        <v>1</v>
      </c>
      <c r="T74" s="0" t="n">
        <f aca="false">IF(ABS($Q$74*$S$74-$R$74)&lt;1,0,1)</f>
        <v>0</v>
      </c>
    </row>
    <row r="75" customFormat="false" ht="32.8" hidden="false" customHeight="false" outlineLevel="0" collapsed="false">
      <c r="A75" s="68" t="s">
        <v>2760</v>
      </c>
      <c r="B75" s="11" t="n">
        <f aca="false">$K$75</f>
        <v>120</v>
      </c>
      <c r="C75" s="11" t="n">
        <f aca="false">$L$75</f>
        <v>120</v>
      </c>
      <c r="D75" s="11" t="n">
        <f aca="false">B75-C75</f>
        <v>0</v>
      </c>
      <c r="E75" s="11" t="n">
        <v>6</v>
      </c>
      <c r="F75" s="117" t="str">
        <f aca="false">IF(B75&gt;=C75-E75,"PASS","FAIL")</f>
        <v>PASS</v>
      </c>
      <c r="G75" s="15" t="s">
        <v>2761</v>
      </c>
      <c r="J75" s="0" t="s">
        <v>2760</v>
      </c>
      <c r="K75" s="109" t="n">
        <v>120</v>
      </c>
      <c r="L75" s="109" t="n">
        <v>120</v>
      </c>
      <c r="P75" s="0" t="s">
        <v>2762</v>
      </c>
      <c r="Q75" s="109" t="n">
        <v>3</v>
      </c>
      <c r="R75" s="109" t="n">
        <v>3</v>
      </c>
      <c r="S75" s="109" t="n">
        <v>1</v>
      </c>
      <c r="T75" s="0" t="n">
        <f aca="false">IF(ABS($Q$75*$S$75-$R$75)&lt;1,0,1)</f>
        <v>0</v>
      </c>
    </row>
    <row r="76" customFormat="false" ht="32.8" hidden="false" customHeight="false" outlineLevel="0" collapsed="false">
      <c r="A76" s="68" t="s">
        <v>2763</v>
      </c>
      <c r="B76" s="11" t="n">
        <f aca="false">$K$76</f>
        <v>90</v>
      </c>
      <c r="C76" s="11" t="n">
        <f aca="false">$L$76</f>
        <v>45</v>
      </c>
      <c r="D76" s="11" t="n">
        <f aca="false">B76-C76</f>
        <v>45</v>
      </c>
      <c r="E76" s="11" t="n">
        <v>2.25</v>
      </c>
      <c r="F76" s="117" t="str">
        <f aca="false">IF(B76&gt;=C76-E76,"PASS","FAIL")</f>
        <v>PASS</v>
      </c>
      <c r="G76" s="15" t="s">
        <v>2764</v>
      </c>
      <c r="J76" s="0" t="s">
        <v>2763</v>
      </c>
      <c r="K76" s="109" t="n">
        <v>90</v>
      </c>
      <c r="L76" s="109" t="n">
        <v>45</v>
      </c>
      <c r="P76" s="0" t="s">
        <v>2765</v>
      </c>
      <c r="Q76" s="109" t="n">
        <v>3000</v>
      </c>
      <c r="R76" s="109" t="n">
        <v>3000</v>
      </c>
      <c r="S76" s="109" t="n">
        <v>1</v>
      </c>
      <c r="T76" s="0" t="n">
        <f aca="false">IF(ABS($Q$76*$S$76-$R$76)&lt;15,0,1)</f>
        <v>0</v>
      </c>
    </row>
    <row r="77" customFormat="false" ht="32.8" hidden="false" customHeight="false" outlineLevel="0" collapsed="false">
      <c r="A77" s="68" t="s">
        <v>2766</v>
      </c>
      <c r="B77" s="11" t="n">
        <f aca="false">$K$77</f>
        <v>8</v>
      </c>
      <c r="C77" s="11" t="n">
        <f aca="false">$L$77</f>
        <v>8</v>
      </c>
      <c r="D77" s="11" t="n">
        <f aca="false">B77-C77</f>
        <v>0</v>
      </c>
      <c r="E77" s="11" t="n">
        <v>0.4</v>
      </c>
      <c r="F77" s="117" t="str">
        <f aca="false">IF(B77&gt;=C77-E77,"PASS","FAIL")</f>
        <v>PASS</v>
      </c>
      <c r="G77" s="15" t="s">
        <v>2767</v>
      </c>
      <c r="J77" s="0" t="s">
        <v>2766</v>
      </c>
      <c r="K77" s="109" t="n">
        <v>8</v>
      </c>
      <c r="L77" s="109" t="n">
        <v>8</v>
      </c>
      <c r="P77" s="0" t="s">
        <v>2768</v>
      </c>
      <c r="Q77" s="109" t="n">
        <v>218</v>
      </c>
      <c r="R77" s="109" t="n">
        <v>218</v>
      </c>
      <c r="S77" s="109" t="n">
        <v>1</v>
      </c>
      <c r="T77" s="0" t="n">
        <f aca="false">IF(ABS($Q$77*$S$77-$R$77)&lt;1.09,0,1)</f>
        <v>0</v>
      </c>
    </row>
    <row r="78" customFormat="false" ht="32.8" hidden="false" customHeight="false" outlineLevel="0" collapsed="false">
      <c r="A78" s="68" t="s">
        <v>2769</v>
      </c>
      <c r="B78" s="11" t="n">
        <f aca="false">$K$78</f>
        <v>25</v>
      </c>
      <c r="C78" s="11" t="n">
        <f aca="false">$L$78</f>
        <v>25</v>
      </c>
      <c r="D78" s="11" t="n">
        <f aca="false">B78-C78</f>
        <v>0</v>
      </c>
      <c r="E78" s="11" t="n">
        <v>1.25</v>
      </c>
      <c r="F78" s="117" t="str">
        <f aca="false">IF(B78&gt;=C78-E78,"PASS","FAIL")</f>
        <v>PASS</v>
      </c>
      <c r="G78" s="15" t="s">
        <v>2770</v>
      </c>
      <c r="J78" s="0" t="s">
        <v>2769</v>
      </c>
      <c r="K78" s="109" t="n">
        <v>25</v>
      </c>
      <c r="L78" s="109" t="n">
        <v>25</v>
      </c>
      <c r="P78" s="0" t="s">
        <v>2771</v>
      </c>
      <c r="Q78" s="109" t="n">
        <v>250</v>
      </c>
      <c r="R78" s="109" t="n">
        <v>250</v>
      </c>
      <c r="S78" s="109" t="n">
        <v>1</v>
      </c>
      <c r="T78" s="0" t="n">
        <f aca="false">IF(ABS($Q$78*$S$78-$R$78)&lt;1.25,0,1)</f>
        <v>0</v>
      </c>
    </row>
    <row r="79" customFormat="false" ht="22.35" hidden="false" customHeight="false" outlineLevel="0" collapsed="false">
      <c r="A79" s="68" t="s">
        <v>2772</v>
      </c>
      <c r="B79" s="11" t="n">
        <f aca="false">$K$79</f>
        <v>75</v>
      </c>
      <c r="C79" s="11" t="n">
        <f aca="false">$L$79</f>
        <v>75</v>
      </c>
      <c r="D79" s="11" t="n">
        <f aca="false">B79-C79</f>
        <v>0</v>
      </c>
      <c r="E79" s="11" t="n">
        <v>3.75</v>
      </c>
      <c r="F79" s="117" t="str">
        <f aca="false">IF(B79&gt;=C79-E79,"PASS","FAIL")</f>
        <v>PASS</v>
      </c>
      <c r="G79" s="15" t="s">
        <v>2773</v>
      </c>
      <c r="J79" s="0" t="s">
        <v>2772</v>
      </c>
      <c r="K79" s="109" t="n">
        <v>75</v>
      </c>
      <c r="L79" s="109" t="n">
        <v>75</v>
      </c>
      <c r="P79" s="0" t="s">
        <v>2774</v>
      </c>
      <c r="Q79" s="109" t="n">
        <v>9</v>
      </c>
      <c r="R79" s="109" t="n">
        <v>9</v>
      </c>
      <c r="S79" s="109" t="n">
        <v>1</v>
      </c>
      <c r="T79" s="0" t="n">
        <f aca="false">IF(ABS($Q$79*$S$79-$R$79)&lt;1,0,1)</f>
        <v>0</v>
      </c>
    </row>
    <row r="80" customFormat="false" ht="15" hidden="false" customHeight="false" outlineLevel="0" collapsed="false">
      <c r="P80" s="0" t="s">
        <v>2775</v>
      </c>
      <c r="Q80" s="109" t="n">
        <v>9</v>
      </c>
      <c r="R80" s="109" t="n">
        <v>9</v>
      </c>
      <c r="S80" s="109" t="n">
        <v>1</v>
      </c>
      <c r="T80" s="0" t="n">
        <f aca="false">IF(ABS($Q$80*$S$80-$R$80)&lt;1,0,1)</f>
        <v>0</v>
      </c>
    </row>
    <row r="81" customFormat="false" ht="15" hidden="false" customHeight="false" outlineLevel="0" collapsed="false">
      <c r="A81" s="8" t="s">
        <v>2776</v>
      </c>
      <c r="B81" s="8"/>
      <c r="C81" s="8"/>
      <c r="D81" s="8"/>
      <c r="E81" s="8"/>
      <c r="F81" s="8"/>
      <c r="G81" s="8"/>
      <c r="P81" s="0" t="s">
        <v>2777</v>
      </c>
      <c r="Q81" s="109" t="n">
        <v>9</v>
      </c>
      <c r="R81" s="109" t="n">
        <v>9</v>
      </c>
      <c r="S81" s="109" t="n">
        <v>1</v>
      </c>
      <c r="T81" s="0" t="n">
        <f aca="false">IF(ABS($Q$81*$S$81-$R$81)&lt;1,0,1)</f>
        <v>0</v>
      </c>
    </row>
    <row r="82" customFormat="false" ht="22.35" hidden="false" customHeight="false" outlineLevel="0" collapsed="false">
      <c r="A82" s="68" t="s">
        <v>2778</v>
      </c>
      <c r="B82" s="11" t="n">
        <f aca="false">$K$82</f>
        <v>0.741</v>
      </c>
      <c r="C82" s="11" t="n">
        <f aca="false">$L$82</f>
        <v>0.741</v>
      </c>
      <c r="D82" s="11" t="n">
        <f aca="false">B82-C82</f>
        <v>0</v>
      </c>
      <c r="E82" s="11" t="n">
        <v>0.015</v>
      </c>
      <c r="F82" s="117" t="str">
        <f aca="false">IF(ABS(D82)&lt;E82,"PASS","FAIL")</f>
        <v>PASS</v>
      </c>
      <c r="G82" s="15" t="s">
        <v>2779</v>
      </c>
      <c r="J82" s="0" t="s">
        <v>2778</v>
      </c>
      <c r="K82" s="109" t="n">
        <v>0.741</v>
      </c>
      <c r="L82" s="109" t="n">
        <v>0.741</v>
      </c>
      <c r="P82" s="0" t="s">
        <v>2780</v>
      </c>
      <c r="Q82" s="109" t="n">
        <v>40</v>
      </c>
      <c r="R82" s="109" t="n">
        <v>40</v>
      </c>
      <c r="S82" s="109" t="n">
        <v>1</v>
      </c>
      <c r="T82" s="0" t="n">
        <f aca="false">IF(ABS($Q$82*$S$82-$R$82)&lt;1,0,1)</f>
        <v>0</v>
      </c>
    </row>
    <row r="83" customFormat="false" ht="22.35" hidden="false" customHeight="false" outlineLevel="0" collapsed="false">
      <c r="A83" s="68" t="s">
        <v>2781</v>
      </c>
      <c r="B83" s="11" t="n">
        <f aca="false">$K$83</f>
        <v>0.296</v>
      </c>
      <c r="C83" s="11" t="n">
        <f aca="false">$L$83</f>
        <v>0.296</v>
      </c>
      <c r="D83" s="11" t="n">
        <f aca="false">B83-C83</f>
        <v>0</v>
      </c>
      <c r="E83" s="11" t="n">
        <v>0.01</v>
      </c>
      <c r="F83" s="117" t="str">
        <f aca="false">IF(ABS(D83)&lt;E83,"PASS","FAIL")</f>
        <v>PASS</v>
      </c>
      <c r="G83" s="15" t="s">
        <v>2782</v>
      </c>
      <c r="J83" s="0" t="s">
        <v>2781</v>
      </c>
      <c r="K83" s="109" t="n">
        <v>0.296</v>
      </c>
      <c r="L83" s="109" t="n">
        <v>0.296</v>
      </c>
      <c r="P83" s="0" t="s">
        <v>2783</v>
      </c>
      <c r="Q83" s="109" t="n">
        <v>40</v>
      </c>
      <c r="R83" s="109" t="n">
        <v>40</v>
      </c>
      <c r="S83" s="109" t="n">
        <v>1</v>
      </c>
      <c r="T83" s="0" t="n">
        <f aca="false">IF(ABS($Q$83*$S$83-$R$83)&lt;1,0,1)</f>
        <v>0</v>
      </c>
    </row>
    <row r="84" customFormat="false" ht="22.35" hidden="false" customHeight="false" outlineLevel="0" collapsed="false">
      <c r="A84" s="68" t="s">
        <v>2784</v>
      </c>
      <c r="B84" s="11" t="n">
        <f aca="false">$K$84</f>
        <v>25</v>
      </c>
      <c r="C84" s="11" t="n">
        <f aca="false">$L$84</f>
        <v>25</v>
      </c>
      <c r="D84" s="11" t="n">
        <f aca="false">B84-C84</f>
        <v>0</v>
      </c>
      <c r="E84" s="11" t="n">
        <v>0.5</v>
      </c>
      <c r="F84" s="117" t="str">
        <f aca="false">IF(ABS(D84)&lt;E84,"PASS","FAIL")</f>
        <v>PASS</v>
      </c>
      <c r="G84" s="15" t="s">
        <v>2785</v>
      </c>
      <c r="J84" s="0" t="s">
        <v>2784</v>
      </c>
      <c r="K84" s="109" t="n">
        <v>25</v>
      </c>
      <c r="L84" s="109" t="n">
        <v>25</v>
      </c>
      <c r="P84" s="0" t="s">
        <v>2786</v>
      </c>
      <c r="Q84" s="109" t="n">
        <v>3</v>
      </c>
      <c r="R84" s="109" t="n">
        <v>3</v>
      </c>
      <c r="S84" s="109" t="n">
        <v>1</v>
      </c>
      <c r="T84" s="0" t="n">
        <f aca="false">IF(ABS($Q$84*$S$84-$R$84)&lt;1,0,1)</f>
        <v>0</v>
      </c>
    </row>
    <row r="85" customFormat="false" ht="22.35" hidden="false" customHeight="false" outlineLevel="0" collapsed="false">
      <c r="A85" s="68" t="s">
        <v>2787</v>
      </c>
      <c r="B85" s="11" t="n">
        <f aca="false">$K$85</f>
        <v>2.03</v>
      </c>
      <c r="C85" s="11" t="n">
        <f aca="false">$L$85</f>
        <v>2.03</v>
      </c>
      <c r="D85" s="11" t="n">
        <f aca="false">B85-C85</f>
        <v>0</v>
      </c>
      <c r="E85" s="11" t="n">
        <v>0.041</v>
      </c>
      <c r="F85" s="117" t="str">
        <f aca="false">IF(ABS(D85)&lt;E85,"PASS","FAIL")</f>
        <v>PASS</v>
      </c>
      <c r="G85" s="15" t="s">
        <v>2788</v>
      </c>
      <c r="J85" s="0" t="s">
        <v>2787</v>
      </c>
      <c r="K85" s="109" t="n">
        <v>2.03</v>
      </c>
      <c r="L85" s="109" t="n">
        <v>2.03</v>
      </c>
      <c r="P85" s="0" t="s">
        <v>2789</v>
      </c>
      <c r="Q85" s="109" t="n">
        <v>3000</v>
      </c>
      <c r="R85" s="109" t="n">
        <v>3000</v>
      </c>
      <c r="S85" s="109" t="n">
        <v>1</v>
      </c>
      <c r="T85" s="0" t="n">
        <f aca="false">IF(ABS($Q$85*$S$85-$R$85)&lt;15,0,1)</f>
        <v>0</v>
      </c>
    </row>
    <row r="86" customFormat="false" ht="22.35" hidden="false" customHeight="false" outlineLevel="0" collapsed="false">
      <c r="A86" s="68" t="s">
        <v>2790</v>
      </c>
      <c r="B86" s="11" t="n">
        <f aca="false">$K$86</f>
        <v>75</v>
      </c>
      <c r="C86" s="11" t="n">
        <f aca="false">$L$86</f>
        <v>75</v>
      </c>
      <c r="D86" s="11" t="n">
        <f aca="false">B86-C86</f>
        <v>0</v>
      </c>
      <c r="E86" s="11" t="n">
        <v>1.5</v>
      </c>
      <c r="F86" s="117" t="str">
        <f aca="false">IF(ABS(D86)&lt;E86,"PASS","FAIL")</f>
        <v>PASS</v>
      </c>
      <c r="G86" s="15" t="s">
        <v>2791</v>
      </c>
      <c r="J86" s="0" t="s">
        <v>2790</v>
      </c>
      <c r="K86" s="109" t="n">
        <v>75</v>
      </c>
      <c r="L86" s="109" t="n">
        <v>75</v>
      </c>
      <c r="P86" s="0" t="s">
        <v>2792</v>
      </c>
      <c r="Q86" s="109" t="n">
        <v>300</v>
      </c>
      <c r="R86" s="109" t="n">
        <v>300</v>
      </c>
      <c r="S86" s="109" t="n">
        <v>1</v>
      </c>
      <c r="T86" s="0" t="n">
        <f aca="false">IF(ABS($Q$86*$S$86-$R$86)&lt;1.5,0,1)</f>
        <v>0</v>
      </c>
    </row>
    <row r="87" customFormat="false" ht="22.35" hidden="false" customHeight="false" outlineLevel="0" collapsed="false">
      <c r="A87" s="68" t="s">
        <v>2793</v>
      </c>
      <c r="B87" s="11" t="n">
        <f aca="false">$K$87</f>
        <v>108.25</v>
      </c>
      <c r="C87" s="11" t="n">
        <f aca="false">$L$87</f>
        <v>108.25</v>
      </c>
      <c r="D87" s="11" t="n">
        <f aca="false">B87-C87</f>
        <v>0</v>
      </c>
      <c r="E87" s="11" t="n">
        <v>2.165</v>
      </c>
      <c r="F87" s="117" t="str">
        <f aca="false">IF(ABS(D87)&lt;E87,"PASS","FAIL")</f>
        <v>PASS</v>
      </c>
      <c r="G87" s="15" t="s">
        <v>2794</v>
      </c>
      <c r="J87" s="0" t="s">
        <v>2793</v>
      </c>
      <c r="K87" s="109" t="n">
        <v>108.25</v>
      </c>
      <c r="L87" s="109" t="n">
        <v>108.25</v>
      </c>
      <c r="P87" s="0" t="s">
        <v>2795</v>
      </c>
      <c r="Q87" s="109" t="n">
        <v>1</v>
      </c>
      <c r="R87" s="109" t="n">
        <v>1</v>
      </c>
      <c r="S87" s="109" t="n">
        <v>1</v>
      </c>
      <c r="T87" s="0" t="n">
        <f aca="false">IF(ABS($Q$87*$S$87-$R$87)&lt;1,0,1)</f>
        <v>0</v>
      </c>
    </row>
    <row r="88" customFormat="false" ht="22.35" hidden="false" customHeight="false" outlineLevel="0" collapsed="false">
      <c r="A88" s="68" t="s">
        <v>2796</v>
      </c>
      <c r="B88" s="11" t="n">
        <f aca="false">$K$88</f>
        <v>90</v>
      </c>
      <c r="C88" s="11" t="n">
        <f aca="false">$L$88</f>
        <v>90</v>
      </c>
      <c r="D88" s="11" t="n">
        <f aca="false">B88-C88</f>
        <v>0</v>
      </c>
      <c r="E88" s="11" t="n">
        <v>1.8</v>
      </c>
      <c r="F88" s="117" t="str">
        <f aca="false">IF(ABS(D88)&lt;E88,"PASS","FAIL")</f>
        <v>PASS</v>
      </c>
      <c r="G88" s="15" t="s">
        <v>2797</v>
      </c>
      <c r="J88" s="0" t="s">
        <v>2796</v>
      </c>
      <c r="K88" s="109" t="n">
        <v>90</v>
      </c>
      <c r="L88" s="109" t="n">
        <v>90</v>
      </c>
      <c r="P88" s="0" t="s">
        <v>2798</v>
      </c>
      <c r="Q88" s="109" t="n">
        <v>40</v>
      </c>
      <c r="R88" s="109" t="n">
        <v>40</v>
      </c>
      <c r="S88" s="109" t="n">
        <v>1</v>
      </c>
      <c r="T88" s="0" t="n">
        <f aca="false">IF(ABS($Q$88*$S$88-$R$88)&lt;1,0,1)</f>
        <v>0</v>
      </c>
    </row>
    <row r="89" customFormat="false" ht="22.35" hidden="false" customHeight="false" outlineLevel="0" collapsed="false">
      <c r="A89" s="68" t="s">
        <v>2799</v>
      </c>
      <c r="B89" s="11" t="n">
        <f aca="false">$K$89</f>
        <v>4.1</v>
      </c>
      <c r="C89" s="11" t="n">
        <f aca="false">$L$89</f>
        <v>4.1</v>
      </c>
      <c r="D89" s="11" t="n">
        <f aca="false">B89-C89</f>
        <v>0</v>
      </c>
      <c r="E89" s="11" t="n">
        <v>0.082</v>
      </c>
      <c r="F89" s="117" t="str">
        <f aca="false">IF(ABS(D89)&lt;E89,"PASS","FAIL")</f>
        <v>PASS</v>
      </c>
      <c r="G89" s="15" t="s">
        <v>2800</v>
      </c>
      <c r="J89" s="0" t="s">
        <v>2799</v>
      </c>
      <c r="K89" s="109" t="n">
        <v>4.1</v>
      </c>
      <c r="L89" s="109" t="n">
        <v>4.1</v>
      </c>
      <c r="P89" s="0" t="s">
        <v>2801</v>
      </c>
      <c r="Q89" s="109" t="n">
        <v>11000</v>
      </c>
      <c r="R89" s="109" t="n">
        <v>11000</v>
      </c>
      <c r="S89" s="109" t="n">
        <v>1</v>
      </c>
      <c r="T89" s="0" t="n">
        <f aca="false">IF(ABS($Q$89*$S$89-$R$89)&lt;55,0,1)</f>
        <v>0</v>
      </c>
    </row>
    <row r="90" customFormat="false" ht="22.35" hidden="false" customHeight="false" outlineLevel="0" collapsed="false">
      <c r="A90" s="68" t="s">
        <v>2802</v>
      </c>
      <c r="B90" s="11" t="n">
        <f aca="false">$K$90</f>
        <v>1</v>
      </c>
      <c r="C90" s="11" t="n">
        <f aca="false">$L$90</f>
        <v>1</v>
      </c>
      <c r="D90" s="11" t="n">
        <f aca="false">B90-C90</f>
        <v>0</v>
      </c>
      <c r="E90" s="11" t="n">
        <v>0.02</v>
      </c>
      <c r="F90" s="117" t="str">
        <f aca="false">IF(ABS(D90)&lt;E90,"PASS","FAIL")</f>
        <v>PASS</v>
      </c>
      <c r="G90" s="15" t="s">
        <v>2803</v>
      </c>
      <c r="J90" s="0" t="s">
        <v>2802</v>
      </c>
      <c r="K90" s="109" t="n">
        <v>1</v>
      </c>
      <c r="L90" s="109" t="n">
        <v>1</v>
      </c>
      <c r="P90" s="0" t="s">
        <v>2804</v>
      </c>
      <c r="Q90" s="109" t="n">
        <v>18</v>
      </c>
      <c r="R90" s="109" t="n">
        <v>18</v>
      </c>
      <c r="S90" s="109" t="n">
        <v>1</v>
      </c>
      <c r="T90" s="0" t="n">
        <f aca="false">IF(ABS($Q$90*$S$90-$R$90)&lt;1,0,1)</f>
        <v>0</v>
      </c>
    </row>
    <row r="91" customFormat="false" ht="22.35" hidden="false" customHeight="false" outlineLevel="0" collapsed="false">
      <c r="A91" s="68" t="s">
        <v>2805</v>
      </c>
      <c r="B91" s="11" t="n">
        <f aca="false">$K$91</f>
        <v>53</v>
      </c>
      <c r="C91" s="11" t="n">
        <f aca="false">$L$91</f>
        <v>53</v>
      </c>
      <c r="D91" s="11" t="n">
        <f aca="false">B91-C91</f>
        <v>0</v>
      </c>
      <c r="E91" s="11" t="n">
        <v>1.06</v>
      </c>
      <c r="F91" s="117" t="str">
        <f aca="false">IF(ABS(D91)&lt;E91,"PASS","FAIL")</f>
        <v>PASS</v>
      </c>
      <c r="G91" s="15" t="s">
        <v>2806</v>
      </c>
      <c r="J91" s="0" t="s">
        <v>2805</v>
      </c>
      <c r="K91" s="109" t="n">
        <v>53</v>
      </c>
      <c r="L91" s="109" t="n">
        <v>53</v>
      </c>
      <c r="P91" s="0" t="s">
        <v>2807</v>
      </c>
      <c r="Q91" s="109" t="n">
        <v>76</v>
      </c>
      <c r="R91" s="109" t="n">
        <v>76</v>
      </c>
      <c r="S91" s="109" t="n">
        <v>1</v>
      </c>
      <c r="T91" s="0" t="n">
        <f aca="false">IF(ABS($Q$91*$S$91-$R$91)&lt;1,0,1)</f>
        <v>0</v>
      </c>
    </row>
    <row r="92" customFormat="false" ht="22.35" hidden="false" customHeight="false" outlineLevel="0" collapsed="false">
      <c r="A92" s="68" t="s">
        <v>2808</v>
      </c>
      <c r="B92" s="11" t="n">
        <f aca="false">$K$92</f>
        <v>90</v>
      </c>
      <c r="C92" s="11" t="n">
        <f aca="false">$L$92</f>
        <v>90</v>
      </c>
      <c r="D92" s="11" t="n">
        <f aca="false">B92-C92</f>
        <v>0</v>
      </c>
      <c r="E92" s="11" t="n">
        <v>1.8</v>
      </c>
      <c r="F92" s="117" t="str">
        <f aca="false">IF(ABS(D92)&lt;E92,"PASS","FAIL")</f>
        <v>PASS</v>
      </c>
      <c r="G92" s="15" t="s">
        <v>2809</v>
      </c>
      <c r="J92" s="0" t="s">
        <v>2808</v>
      </c>
      <c r="K92" s="109" t="n">
        <v>90</v>
      </c>
      <c r="L92" s="109" t="n">
        <v>90</v>
      </c>
      <c r="P92" s="0" t="s">
        <v>2810</v>
      </c>
      <c r="Q92" s="109" t="n">
        <v>30</v>
      </c>
      <c r="R92" s="109" t="n">
        <v>30</v>
      </c>
      <c r="S92" s="109" t="n">
        <v>1</v>
      </c>
      <c r="T92" s="0" t="n">
        <f aca="false">IF(ABS($Q$92*$S$92-$R$92)&lt;1,0,1)</f>
        <v>0</v>
      </c>
    </row>
    <row r="93" customFormat="false" ht="22.35" hidden="false" customHeight="false" outlineLevel="0" collapsed="false">
      <c r="A93" s="68" t="s">
        <v>2811</v>
      </c>
      <c r="B93" s="11" t="n">
        <f aca="false">$K$93</f>
        <v>120</v>
      </c>
      <c r="C93" s="11" t="n">
        <f aca="false">$L$93</f>
        <v>120</v>
      </c>
      <c r="D93" s="11" t="n">
        <f aca="false">B93-C93</f>
        <v>0</v>
      </c>
      <c r="E93" s="11" t="n">
        <v>2.4</v>
      </c>
      <c r="F93" s="117" t="str">
        <f aca="false">IF(ABS(D93)&lt;E93,"PASS","FAIL")</f>
        <v>PASS</v>
      </c>
      <c r="G93" s="15" t="s">
        <v>2812</v>
      </c>
      <c r="J93" s="0" t="s">
        <v>2811</v>
      </c>
      <c r="K93" s="109" t="n">
        <v>120</v>
      </c>
      <c r="L93" s="109" t="n">
        <v>120</v>
      </c>
      <c r="P93" s="0" t="s">
        <v>2813</v>
      </c>
      <c r="Q93" s="109" t="n">
        <v>40</v>
      </c>
      <c r="R93" s="109" t="n">
        <v>40</v>
      </c>
      <c r="S93" s="109" t="n">
        <v>1</v>
      </c>
      <c r="T93" s="0" t="n">
        <f aca="false">IF(ABS($Q$93*$S$93-$R$93)&lt;1,0,1)</f>
        <v>0</v>
      </c>
    </row>
    <row r="94" customFormat="false" ht="22.35" hidden="false" customHeight="false" outlineLevel="0" collapsed="false">
      <c r="A94" s="68" t="s">
        <v>2814</v>
      </c>
      <c r="B94" s="11" t="n">
        <f aca="false">$K$94</f>
        <v>1.5</v>
      </c>
      <c r="C94" s="11" t="n">
        <f aca="false">$L$94</f>
        <v>1.5</v>
      </c>
      <c r="D94" s="11" t="n">
        <f aca="false">B94-C94</f>
        <v>0</v>
      </c>
      <c r="E94" s="11" t="n">
        <v>0.03</v>
      </c>
      <c r="F94" s="117" t="str">
        <f aca="false">IF(ABS(D94)&lt;E94,"PASS","FAIL")</f>
        <v>PASS</v>
      </c>
      <c r="G94" s="15" t="s">
        <v>2815</v>
      </c>
      <c r="J94" s="0" t="s">
        <v>2814</v>
      </c>
      <c r="K94" s="109" t="n">
        <v>1.5</v>
      </c>
      <c r="L94" s="109" t="n">
        <v>1.5</v>
      </c>
      <c r="P94" s="0" t="s">
        <v>2816</v>
      </c>
      <c r="Q94" s="109" t="n">
        <v>8023</v>
      </c>
      <c r="R94" s="109" t="n">
        <v>8023</v>
      </c>
      <c r="S94" s="109" t="n">
        <v>1</v>
      </c>
      <c r="T94" s="0" t="n">
        <f aca="false">IF(ABS($Q$94*$S$94-$R$94)&lt;40.115,0,1)</f>
        <v>0</v>
      </c>
    </row>
    <row r="95" customFormat="false" ht="23.85" hidden="false" customHeight="false" outlineLevel="0" collapsed="false">
      <c r="A95" s="68" t="s">
        <v>2817</v>
      </c>
      <c r="B95" s="11" t="n">
        <f aca="false">$K$95</f>
        <v>90</v>
      </c>
      <c r="C95" s="11" t="n">
        <f aca="false">$L$95</f>
        <v>90</v>
      </c>
      <c r="D95" s="11" t="n">
        <f aca="false">B95-C95</f>
        <v>0</v>
      </c>
      <c r="E95" s="11" t="n">
        <v>1.8</v>
      </c>
      <c r="F95" s="117" t="str">
        <f aca="false">IF(ABS(D95)&lt;E95,"PASS","FAIL")</f>
        <v>PASS</v>
      </c>
      <c r="G95" s="15" t="s">
        <v>2818</v>
      </c>
      <c r="J95" s="0" t="s">
        <v>2817</v>
      </c>
      <c r="K95" s="109" t="n">
        <v>90</v>
      </c>
      <c r="L95" s="109" t="n">
        <v>90</v>
      </c>
      <c r="P95" s="0" t="s">
        <v>2819</v>
      </c>
      <c r="Q95" s="109" t="n">
        <v>45</v>
      </c>
      <c r="R95" s="109" t="n">
        <v>45</v>
      </c>
      <c r="S95" s="109" t="n">
        <v>1</v>
      </c>
      <c r="T95" s="0" t="n">
        <f aca="false">IF(ABS($Q$95*$S$95-$R$95)&lt;1,0,1)</f>
        <v>0</v>
      </c>
    </row>
    <row r="96" customFormat="false" ht="22.35" hidden="false" customHeight="false" outlineLevel="0" collapsed="false">
      <c r="A96" s="68" t="s">
        <v>2820</v>
      </c>
      <c r="B96" s="11" t="n">
        <f aca="false">$K$96</f>
        <v>53</v>
      </c>
      <c r="C96" s="11" t="n">
        <f aca="false">$L$96</f>
        <v>53</v>
      </c>
      <c r="D96" s="11" t="n">
        <f aca="false">B96-C96</f>
        <v>0</v>
      </c>
      <c r="E96" s="11" t="n">
        <v>1.06</v>
      </c>
      <c r="F96" s="117" t="str">
        <f aca="false">IF(ABS(D96)&lt;E96,"PASS","FAIL")</f>
        <v>PASS</v>
      </c>
      <c r="G96" s="15" t="s">
        <v>2821</v>
      </c>
      <c r="J96" s="0" t="s">
        <v>2820</v>
      </c>
      <c r="K96" s="109" t="n">
        <v>53</v>
      </c>
      <c r="L96" s="109" t="n">
        <v>53</v>
      </c>
      <c r="P96" s="0" t="s">
        <v>2822</v>
      </c>
      <c r="Q96" s="109" t="n">
        <v>3</v>
      </c>
      <c r="R96" s="109" t="n">
        <v>3</v>
      </c>
      <c r="S96" s="109" t="n">
        <v>1</v>
      </c>
      <c r="T96" s="0" t="n">
        <f aca="false">IF(ABS($Q$96*$S$96-$R$96)&lt;1,0,1)</f>
        <v>0</v>
      </c>
    </row>
    <row r="97" customFormat="false" ht="22.35" hidden="false" customHeight="false" outlineLevel="0" collapsed="false">
      <c r="A97" s="68" t="s">
        <v>2823</v>
      </c>
      <c r="B97" s="11" t="n">
        <f aca="false">$K$97</f>
        <v>106</v>
      </c>
      <c r="C97" s="11" t="n">
        <f aca="false">$L$97</f>
        <v>106</v>
      </c>
      <c r="D97" s="11" t="n">
        <f aca="false">B97-C97</f>
        <v>0</v>
      </c>
      <c r="E97" s="11" t="n">
        <v>2.12</v>
      </c>
      <c r="F97" s="117" t="str">
        <f aca="false">IF(ABS(D97)&lt;E97,"PASS","FAIL")</f>
        <v>PASS</v>
      </c>
      <c r="G97" s="15" t="s">
        <v>2824</v>
      </c>
      <c r="J97" s="0" t="s">
        <v>2823</v>
      </c>
      <c r="K97" s="109" t="n">
        <v>106</v>
      </c>
      <c r="L97" s="109" t="n">
        <v>106</v>
      </c>
      <c r="P97" s="0" t="s">
        <v>2825</v>
      </c>
      <c r="Q97" s="109" t="n">
        <v>40</v>
      </c>
      <c r="R97" s="109" t="n">
        <v>40</v>
      </c>
      <c r="S97" s="109" t="n">
        <v>1</v>
      </c>
      <c r="T97" s="0" t="n">
        <f aca="false">IF(ABS($Q$97*$S$97-$R$97)&lt;1,0,1)</f>
        <v>0</v>
      </c>
    </row>
    <row r="98" customFormat="false" ht="22.35" hidden="false" customHeight="false" outlineLevel="0" collapsed="false">
      <c r="A98" s="68" t="s">
        <v>2826</v>
      </c>
      <c r="B98" s="11" t="n">
        <f aca="false">$K$98</f>
        <v>125</v>
      </c>
      <c r="C98" s="11" t="n">
        <f aca="false">$L$98</f>
        <v>125</v>
      </c>
      <c r="D98" s="11" t="n">
        <f aca="false">B98-C98</f>
        <v>0</v>
      </c>
      <c r="E98" s="11" t="n">
        <v>2.5</v>
      </c>
      <c r="F98" s="117" t="str">
        <f aca="false">IF(ABS(D98)&lt;E98,"PASS","FAIL")</f>
        <v>PASS</v>
      </c>
      <c r="G98" s="15" t="s">
        <v>2827</v>
      </c>
      <c r="J98" s="0" t="s">
        <v>2826</v>
      </c>
      <c r="K98" s="109" t="n">
        <v>125</v>
      </c>
      <c r="L98" s="109" t="n">
        <v>125</v>
      </c>
      <c r="P98" s="0" t="s">
        <v>2828</v>
      </c>
      <c r="Q98" s="109" t="n">
        <v>30</v>
      </c>
      <c r="R98" s="109" t="n">
        <v>30</v>
      </c>
      <c r="S98" s="109" t="n">
        <v>1</v>
      </c>
      <c r="T98" s="0" t="n">
        <f aca="false">IF(ABS($Q$98*$S$98-$R$98)&lt;1,0,1)</f>
        <v>0</v>
      </c>
    </row>
    <row r="99" customFormat="false" ht="22.35" hidden="false" customHeight="false" outlineLevel="0" collapsed="false">
      <c r="A99" s="68" t="s">
        <v>2829</v>
      </c>
      <c r="B99" s="11" t="n">
        <f aca="false">$K$99</f>
        <v>1.8</v>
      </c>
      <c r="C99" s="11" t="n">
        <f aca="false">$L$99</f>
        <v>1.8</v>
      </c>
      <c r="D99" s="11" t="n">
        <f aca="false">B99-C99</f>
        <v>0</v>
      </c>
      <c r="E99" s="11" t="n">
        <v>0.036</v>
      </c>
      <c r="F99" s="117" t="str">
        <f aca="false">IF(ABS(D99)&lt;E99,"PASS","FAIL")</f>
        <v>PASS</v>
      </c>
      <c r="G99" s="15" t="s">
        <v>2830</v>
      </c>
      <c r="J99" s="0" t="s">
        <v>2829</v>
      </c>
      <c r="K99" s="109" t="n">
        <v>1.8</v>
      </c>
      <c r="L99" s="109" t="n">
        <v>1.8</v>
      </c>
      <c r="P99" s="0" t="s">
        <v>2831</v>
      </c>
      <c r="Q99" s="109" t="n">
        <v>9</v>
      </c>
      <c r="R99" s="109" t="n">
        <v>9</v>
      </c>
      <c r="S99" s="109" t="n">
        <v>1</v>
      </c>
      <c r="T99" s="0" t="n">
        <f aca="false">IF(ABS($Q$99*$S$99-$R$99)&lt;1,0,1)</f>
        <v>0</v>
      </c>
    </row>
    <row r="100" customFormat="false" ht="22.35" hidden="false" customHeight="false" outlineLevel="0" collapsed="false">
      <c r="A100" s="68" t="s">
        <v>2832</v>
      </c>
      <c r="B100" s="11" t="n">
        <f aca="false">$K$100</f>
        <v>1.359</v>
      </c>
      <c r="C100" s="11" t="n">
        <f aca="false">$L$100</f>
        <v>1.359</v>
      </c>
      <c r="D100" s="11" t="n">
        <f aca="false">B100-C100</f>
        <v>0</v>
      </c>
      <c r="E100" s="11" t="n">
        <v>0.027</v>
      </c>
      <c r="F100" s="117" t="str">
        <f aca="false">IF(ABS(D100)&lt;E100,"PASS","FAIL")</f>
        <v>PASS</v>
      </c>
      <c r="G100" s="15" t="s">
        <v>2833</v>
      </c>
      <c r="J100" s="0" t="s">
        <v>2832</v>
      </c>
      <c r="K100" s="109" t="n">
        <v>1.359</v>
      </c>
      <c r="L100" s="109" t="n">
        <v>1.359</v>
      </c>
      <c r="P100" s="0" t="s">
        <v>2834</v>
      </c>
      <c r="Q100" s="109" t="n">
        <v>345</v>
      </c>
      <c r="R100" s="109" t="n">
        <v>345</v>
      </c>
      <c r="S100" s="109" t="n">
        <v>1</v>
      </c>
      <c r="T100" s="0" t="n">
        <f aca="false">IF(ABS($Q$100*$S$100-$R$100)&lt;1.725,0,1)</f>
        <v>0</v>
      </c>
    </row>
    <row r="101" customFormat="false" ht="32.8" hidden="false" customHeight="false" outlineLevel="0" collapsed="false">
      <c r="A101" s="68" t="s">
        <v>2835</v>
      </c>
      <c r="B101" s="11" t="n">
        <f aca="false">$K$101</f>
        <v>46.199</v>
      </c>
      <c r="C101" s="11" t="n">
        <f aca="false">$L$101</f>
        <v>46.199</v>
      </c>
      <c r="D101" s="11" t="n">
        <f aca="false">B101-C101</f>
        <v>0</v>
      </c>
      <c r="E101" s="11" t="n">
        <v>0.924</v>
      </c>
      <c r="F101" s="117" t="str">
        <f aca="false">IF(ABS(D101)&lt;E101,"PASS","FAIL")</f>
        <v>PASS</v>
      </c>
      <c r="G101" s="15" t="s">
        <v>2836</v>
      </c>
      <c r="J101" s="0" t="s">
        <v>2835</v>
      </c>
      <c r="K101" s="109" t="n">
        <v>46.199</v>
      </c>
      <c r="L101" s="109" t="n">
        <v>46.199</v>
      </c>
      <c r="P101" s="0" t="s">
        <v>2837</v>
      </c>
      <c r="Q101" s="109" t="n">
        <v>40</v>
      </c>
      <c r="R101" s="109" t="n">
        <v>40</v>
      </c>
      <c r="S101" s="109" t="n">
        <v>1</v>
      </c>
      <c r="T101" s="0" t="n">
        <f aca="false">IF(ABS($Q$101*$S$101-$R$101)&lt;1,0,1)</f>
        <v>0</v>
      </c>
    </row>
    <row r="102" customFormat="false" ht="23.85" hidden="false" customHeight="false" outlineLevel="0" collapsed="false">
      <c r="A102" s="68" t="s">
        <v>2838</v>
      </c>
      <c r="B102" s="11" t="n">
        <f aca="false">$K$102</f>
        <v>5</v>
      </c>
      <c r="C102" s="11" t="n">
        <f aca="false">$L$102</f>
        <v>5</v>
      </c>
      <c r="D102" s="11" t="n">
        <f aca="false">B102-C102</f>
        <v>0</v>
      </c>
      <c r="E102" s="11" t="n">
        <v>0.1</v>
      </c>
      <c r="F102" s="117" t="str">
        <f aca="false">IF(ABS(D102)&lt;E102,"PASS","FAIL")</f>
        <v>PASS</v>
      </c>
      <c r="G102" s="15" t="s">
        <v>2839</v>
      </c>
      <c r="J102" s="0" t="s">
        <v>2838</v>
      </c>
      <c r="K102" s="109" t="n">
        <v>5</v>
      </c>
      <c r="L102" s="109" t="n">
        <v>5</v>
      </c>
      <c r="P102" s="0" t="s">
        <v>2840</v>
      </c>
      <c r="Q102" s="109" t="n">
        <v>72</v>
      </c>
      <c r="R102" s="109" t="n">
        <v>72</v>
      </c>
      <c r="S102" s="109" t="n">
        <v>1</v>
      </c>
      <c r="T102" s="0" t="n">
        <f aca="false">IF(ABS($Q$102*$S$102-$R$102)&lt;1,0,1)</f>
        <v>0</v>
      </c>
    </row>
    <row r="103" customFormat="false" ht="22.35" hidden="false" customHeight="false" outlineLevel="0" collapsed="false">
      <c r="A103" s="68" t="s">
        <v>2841</v>
      </c>
      <c r="B103" s="11" t="n">
        <f aca="false">$K$103</f>
        <v>9.653</v>
      </c>
      <c r="C103" s="11" t="n">
        <f aca="false">$L$103</f>
        <v>9.653</v>
      </c>
      <c r="D103" s="11" t="n">
        <f aca="false">B103-C103</f>
        <v>0</v>
      </c>
      <c r="E103" s="11" t="n">
        <v>0.193</v>
      </c>
      <c r="F103" s="117" t="str">
        <f aca="false">IF(ABS(D103)&lt;E103,"PASS","FAIL")</f>
        <v>PASS</v>
      </c>
      <c r="G103" s="15" t="s">
        <v>2842</v>
      </c>
      <c r="J103" s="0" t="s">
        <v>2841</v>
      </c>
      <c r="K103" s="109" t="n">
        <v>9.653</v>
      </c>
      <c r="L103" s="109" t="n">
        <v>9.653</v>
      </c>
      <c r="P103" s="0" t="s">
        <v>2843</v>
      </c>
      <c r="Q103" s="109" t="n">
        <v>9</v>
      </c>
      <c r="R103" s="109" t="n">
        <v>9</v>
      </c>
      <c r="S103" s="109" t="n">
        <v>1</v>
      </c>
      <c r="T103" s="0" t="n">
        <f aca="false">IF(ABS($Q$103*$S$103-$R$103)&lt;1,0,1)</f>
        <v>0</v>
      </c>
    </row>
    <row r="104" customFormat="false" ht="22.35" hidden="false" customHeight="false" outlineLevel="0" collapsed="false">
      <c r="A104" s="68" t="s">
        <v>2844</v>
      </c>
      <c r="B104" s="11" t="n">
        <f aca="false">$K$104</f>
        <v>90</v>
      </c>
      <c r="C104" s="11" t="n">
        <f aca="false">$L$104</f>
        <v>90</v>
      </c>
      <c r="D104" s="11" t="n">
        <f aca="false">B104-C104</f>
        <v>0</v>
      </c>
      <c r="E104" s="11" t="n">
        <v>1.8</v>
      </c>
      <c r="F104" s="117" t="str">
        <f aca="false">IF(ABS(D104)&lt;E104,"PASS","FAIL")</f>
        <v>PASS</v>
      </c>
      <c r="G104" s="15" t="s">
        <v>2845</v>
      </c>
      <c r="J104" s="0" t="s">
        <v>2844</v>
      </c>
      <c r="K104" s="109" t="n">
        <v>90</v>
      </c>
      <c r="L104" s="109" t="n">
        <v>90</v>
      </c>
      <c r="P104" s="0" t="s">
        <v>2846</v>
      </c>
      <c r="Q104" s="109" t="n">
        <v>15</v>
      </c>
      <c r="R104" s="109" t="n">
        <v>15</v>
      </c>
      <c r="S104" s="109" t="n">
        <v>1</v>
      </c>
      <c r="T104" s="0" t="n">
        <f aca="false">IF(ABS($Q$104*$S$104-$R$104)&lt;1,0,1)</f>
        <v>0</v>
      </c>
    </row>
    <row r="105" customFormat="false" ht="22.35" hidden="false" customHeight="false" outlineLevel="0" collapsed="false">
      <c r="A105" s="68" t="s">
        <v>2847</v>
      </c>
      <c r="B105" s="11" t="n">
        <f aca="false">$K$105</f>
        <v>1500.8</v>
      </c>
      <c r="C105" s="11" t="n">
        <f aca="false">$L$105</f>
        <v>1500.8</v>
      </c>
      <c r="D105" s="11" t="n">
        <f aca="false">B105-C105</f>
        <v>0</v>
      </c>
      <c r="E105" s="11" t="n">
        <v>30.016</v>
      </c>
      <c r="F105" s="117" t="str">
        <f aca="false">IF(ABS(D105)&lt;E105,"PASS","FAIL")</f>
        <v>PASS</v>
      </c>
      <c r="G105" s="15" t="s">
        <v>2848</v>
      </c>
      <c r="J105" s="0" t="s">
        <v>2847</v>
      </c>
      <c r="K105" s="109" t="n">
        <v>1500.8</v>
      </c>
      <c r="L105" s="109" t="n">
        <v>1500.8</v>
      </c>
      <c r="P105" s="0" t="s">
        <v>2849</v>
      </c>
      <c r="Q105" s="109" t="n">
        <v>2</v>
      </c>
      <c r="R105" s="109" t="n">
        <v>2</v>
      </c>
      <c r="S105" s="109" t="n">
        <v>1</v>
      </c>
      <c r="T105" s="0" t="n">
        <f aca="false">IF(ABS($Q$105*$S$105-$R$105)&lt;1,0,1)</f>
        <v>0</v>
      </c>
    </row>
    <row r="106" customFormat="false" ht="22.35" hidden="false" customHeight="false" outlineLevel="0" collapsed="false">
      <c r="A106" s="68" t="s">
        <v>2850</v>
      </c>
      <c r="B106" s="11" t="n">
        <f aca="false">$K$106</f>
        <v>3.466</v>
      </c>
      <c r="C106" s="11" t="n">
        <f aca="false">$L$106</f>
        <v>3.466</v>
      </c>
      <c r="D106" s="11" t="n">
        <f aca="false">B106-C106</f>
        <v>0</v>
      </c>
      <c r="E106" s="11" t="n">
        <v>0.069</v>
      </c>
      <c r="F106" s="117" t="str">
        <f aca="false">IF(ABS(D106)&lt;E106,"PASS","FAIL")</f>
        <v>PASS</v>
      </c>
      <c r="G106" s="15" t="s">
        <v>2851</v>
      </c>
      <c r="J106" s="0" t="s">
        <v>2850</v>
      </c>
      <c r="K106" s="109" t="n">
        <v>3.466</v>
      </c>
      <c r="L106" s="109" t="n">
        <v>3.466</v>
      </c>
      <c r="P106" s="0" t="s">
        <v>2852</v>
      </c>
      <c r="Q106" s="109" t="n">
        <v>218</v>
      </c>
      <c r="R106" s="109" t="n">
        <v>218</v>
      </c>
      <c r="S106" s="109" t="n">
        <v>1</v>
      </c>
      <c r="T106" s="0" t="n">
        <f aca="false">IF(ABS($Q$106*$S$106-$R$106)&lt;1.09,0,1)</f>
        <v>0</v>
      </c>
    </row>
    <row r="107" customFormat="false" ht="22.35" hidden="false" customHeight="false" outlineLevel="0" collapsed="false">
      <c r="A107" s="68" t="s">
        <v>2853</v>
      </c>
      <c r="B107" s="11" t="n">
        <f aca="false">$K$107</f>
        <v>23.083</v>
      </c>
      <c r="C107" s="11" t="n">
        <f aca="false">$L$107</f>
        <v>23.083</v>
      </c>
      <c r="D107" s="11" t="n">
        <f aca="false">B107-C107</f>
        <v>0</v>
      </c>
      <c r="E107" s="11" t="n">
        <v>0.462</v>
      </c>
      <c r="F107" s="117" t="str">
        <f aca="false">IF(ABS(D107)&lt;E107,"PASS","FAIL")</f>
        <v>PASS</v>
      </c>
      <c r="G107" s="15" t="s">
        <v>2854</v>
      </c>
      <c r="J107" s="0" t="s">
        <v>2853</v>
      </c>
      <c r="K107" s="109" t="n">
        <v>23.083</v>
      </c>
      <c r="L107" s="109" t="n">
        <v>23.083</v>
      </c>
      <c r="P107" s="0" t="s">
        <v>2855</v>
      </c>
      <c r="Q107" s="109" t="n">
        <v>4000</v>
      </c>
      <c r="R107" s="109" t="n">
        <v>4000</v>
      </c>
      <c r="S107" s="109" t="n">
        <v>1</v>
      </c>
      <c r="T107" s="0" t="n">
        <f aca="false">IF(ABS($Q$107*$S$107-$R$107)&lt;20,0,1)</f>
        <v>0</v>
      </c>
    </row>
    <row r="108" customFormat="false" ht="22.35" hidden="false" customHeight="false" outlineLevel="0" collapsed="false">
      <c r="A108" s="68" t="s">
        <v>2856</v>
      </c>
      <c r="B108" s="11" t="n">
        <f aca="false">$K$108</f>
        <v>640</v>
      </c>
      <c r="C108" s="11" t="n">
        <f aca="false">$L$108</f>
        <v>640</v>
      </c>
      <c r="D108" s="11" t="n">
        <f aca="false">B108-C108</f>
        <v>0</v>
      </c>
      <c r="E108" s="11" t="n">
        <v>12.8</v>
      </c>
      <c r="F108" s="117" t="str">
        <f aca="false">IF(ABS(D108)&lt;E108,"PASS","FAIL")</f>
        <v>PASS</v>
      </c>
      <c r="G108" s="15" t="s">
        <v>2857</v>
      </c>
      <c r="J108" s="0" t="s">
        <v>2856</v>
      </c>
      <c r="K108" s="109" t="n">
        <v>640</v>
      </c>
      <c r="L108" s="109" t="n">
        <v>640</v>
      </c>
      <c r="P108" s="0" t="s">
        <v>2858</v>
      </c>
      <c r="Q108" s="109" t="n">
        <v>95</v>
      </c>
      <c r="R108" s="109" t="n">
        <v>95</v>
      </c>
      <c r="S108" s="109" t="n">
        <v>1</v>
      </c>
      <c r="T108" s="0" t="n">
        <f aca="false">IF(ABS($Q$108*$S$108-$R$108)&lt;1,0,1)</f>
        <v>0</v>
      </c>
    </row>
    <row r="109" customFormat="false" ht="22.35" hidden="false" customHeight="false" outlineLevel="0" collapsed="false">
      <c r="A109" s="68" t="s">
        <v>2859</v>
      </c>
      <c r="B109" s="11" t="n">
        <f aca="false">$K$109</f>
        <v>600.811</v>
      </c>
      <c r="C109" s="11" t="n">
        <f aca="false">$L$109</f>
        <v>600.811</v>
      </c>
      <c r="D109" s="11" t="n">
        <f aca="false">B109-C109</f>
        <v>0</v>
      </c>
      <c r="E109" s="11" t="n">
        <v>12.016</v>
      </c>
      <c r="F109" s="117" t="str">
        <f aca="false">IF(ABS(D109)&lt;E109,"PASS","FAIL")</f>
        <v>PASS</v>
      </c>
      <c r="G109" s="15" t="s">
        <v>2860</v>
      </c>
      <c r="J109" s="0" t="s">
        <v>2859</v>
      </c>
      <c r="K109" s="109" t="n">
        <v>600.811</v>
      </c>
      <c r="L109" s="109" t="n">
        <v>600.811</v>
      </c>
      <c r="P109" s="0" t="s">
        <v>2861</v>
      </c>
      <c r="Q109" s="109" t="n">
        <v>4000</v>
      </c>
      <c r="R109" s="109" t="n">
        <v>4000</v>
      </c>
      <c r="S109" s="109" t="n">
        <v>1</v>
      </c>
      <c r="T109" s="0" t="n">
        <f aca="false">IF(ABS($Q$109*$S$109-$R$109)&lt;20,0,1)</f>
        <v>0</v>
      </c>
    </row>
    <row r="110" customFormat="false" ht="22.35" hidden="false" customHeight="false" outlineLevel="0" collapsed="false">
      <c r="A110" s="68" t="s">
        <v>2862</v>
      </c>
      <c r="B110" s="11" t="n">
        <f aca="false">$K$110</f>
        <v>556.127</v>
      </c>
      <c r="C110" s="11" t="n">
        <f aca="false">$L$110</f>
        <v>556.127</v>
      </c>
      <c r="D110" s="11" t="n">
        <f aca="false">B110-C110</f>
        <v>0</v>
      </c>
      <c r="E110" s="11" t="n">
        <v>11.123</v>
      </c>
      <c r="F110" s="117" t="str">
        <f aca="false">IF(ABS(D110)&lt;E110,"PASS","FAIL")</f>
        <v>PASS</v>
      </c>
      <c r="G110" s="15" t="s">
        <v>2863</v>
      </c>
      <c r="J110" s="0" t="s">
        <v>2862</v>
      </c>
      <c r="K110" s="109" t="n">
        <v>556.127</v>
      </c>
      <c r="L110" s="109" t="n">
        <v>556.127</v>
      </c>
      <c r="P110" s="0" t="s">
        <v>2864</v>
      </c>
      <c r="Q110" s="109" t="n">
        <v>905</v>
      </c>
      <c r="R110" s="109" t="n">
        <v>905</v>
      </c>
      <c r="S110" s="109" t="n">
        <v>1</v>
      </c>
      <c r="T110" s="0" t="n">
        <f aca="false">IF(ABS($Q$110*$S$110-$R$110)&lt;4.525,0,1)</f>
        <v>0</v>
      </c>
    </row>
    <row r="111" customFormat="false" ht="23.85" hidden="false" customHeight="false" outlineLevel="0" collapsed="false">
      <c r="A111" s="68" t="s">
        <v>2865</v>
      </c>
      <c r="B111" s="11" t="n">
        <f aca="false">$K$111</f>
        <v>7.5</v>
      </c>
      <c r="C111" s="11" t="n">
        <f aca="false">$L$111</f>
        <v>7.5</v>
      </c>
      <c r="D111" s="11" t="n">
        <f aca="false">B111-C111</f>
        <v>0</v>
      </c>
      <c r="E111" s="11" t="n">
        <v>0.15</v>
      </c>
      <c r="F111" s="117" t="str">
        <f aca="false">IF(ABS(D111)&lt;E111,"PASS","FAIL")</f>
        <v>PASS</v>
      </c>
      <c r="G111" s="15" t="s">
        <v>2866</v>
      </c>
      <c r="J111" s="0" t="s">
        <v>2865</v>
      </c>
      <c r="K111" s="109" t="n">
        <v>7.5</v>
      </c>
      <c r="L111" s="109" t="n">
        <v>7.5</v>
      </c>
      <c r="P111" s="0" t="s">
        <v>2867</v>
      </c>
      <c r="Q111" s="109" t="n">
        <v>911</v>
      </c>
      <c r="R111" s="109" t="n">
        <v>911</v>
      </c>
      <c r="S111" s="109" t="n">
        <v>1</v>
      </c>
      <c r="T111" s="0" t="n">
        <f aca="false">IF(ABS($Q$111*$S$111-$R$111)&lt;4.555,0,1)</f>
        <v>0</v>
      </c>
    </row>
    <row r="112" customFormat="false" ht="22.35" hidden="false" customHeight="false" outlineLevel="0" collapsed="false">
      <c r="A112" s="68" t="s">
        <v>2868</v>
      </c>
      <c r="B112" s="11" t="n">
        <f aca="false">$K$112</f>
        <v>1.923</v>
      </c>
      <c r="C112" s="11" t="n">
        <f aca="false">$L$112</f>
        <v>1.923</v>
      </c>
      <c r="D112" s="11" t="n">
        <f aca="false">B112-C112</f>
        <v>0</v>
      </c>
      <c r="E112" s="11" t="n">
        <v>0.038</v>
      </c>
      <c r="F112" s="117" t="str">
        <f aca="false">IF(ABS(D112)&lt;E112,"PASS","FAIL")</f>
        <v>PASS</v>
      </c>
      <c r="G112" s="15" t="s">
        <v>2869</v>
      </c>
      <c r="J112" s="0" t="s">
        <v>2868</v>
      </c>
      <c r="K112" s="109" t="n">
        <v>1.923</v>
      </c>
      <c r="L112" s="109" t="n">
        <v>1.923</v>
      </c>
      <c r="P112" s="0" t="s">
        <v>2870</v>
      </c>
      <c r="Q112" s="109" t="n">
        <v>1614</v>
      </c>
      <c r="R112" s="109" t="n">
        <v>1614</v>
      </c>
      <c r="S112" s="109" t="n">
        <v>1</v>
      </c>
      <c r="T112" s="0" t="n">
        <f aca="false">IF(ABS($Q$112*$S$112-$R$112)&lt;8.07,0,1)</f>
        <v>0</v>
      </c>
    </row>
    <row r="113" customFormat="false" ht="22.35" hidden="false" customHeight="false" outlineLevel="0" collapsed="false">
      <c r="A113" s="68" t="s">
        <v>2871</v>
      </c>
      <c r="B113" s="11" t="n">
        <f aca="false">$K$113</f>
        <v>40</v>
      </c>
      <c r="C113" s="11" t="n">
        <f aca="false">$L$113</f>
        <v>40</v>
      </c>
      <c r="D113" s="11" t="n">
        <f aca="false">B113-C113</f>
        <v>0</v>
      </c>
      <c r="E113" s="11" t="n">
        <v>0.8</v>
      </c>
      <c r="F113" s="117" t="str">
        <f aca="false">IF(ABS(D113)&lt;E113,"PASS","FAIL")</f>
        <v>PASS</v>
      </c>
      <c r="G113" s="15" t="s">
        <v>2872</v>
      </c>
      <c r="J113" s="0" t="s">
        <v>2871</v>
      </c>
      <c r="K113" s="109" t="n">
        <v>40</v>
      </c>
      <c r="L113" s="109" t="n">
        <v>40</v>
      </c>
      <c r="P113" s="0" t="s">
        <v>2873</v>
      </c>
      <c r="Q113" s="109" t="n">
        <v>975</v>
      </c>
      <c r="R113" s="109" t="n">
        <v>975</v>
      </c>
      <c r="S113" s="109" t="n">
        <v>1</v>
      </c>
      <c r="T113" s="0" t="n">
        <f aca="false">IF(ABS($Q$113*$S$113-$R$113)&lt;4.875,0,1)</f>
        <v>0</v>
      </c>
    </row>
    <row r="114" customFormat="false" ht="23.85" hidden="false" customHeight="false" outlineLevel="0" collapsed="false">
      <c r="A114" s="68" t="s">
        <v>2874</v>
      </c>
      <c r="B114" s="11" t="n">
        <f aca="false">$K$114</f>
        <v>40</v>
      </c>
      <c r="C114" s="11" t="n">
        <f aca="false">$L$114</f>
        <v>40</v>
      </c>
      <c r="D114" s="11" t="n">
        <f aca="false">B114-C114</f>
        <v>0</v>
      </c>
      <c r="E114" s="11" t="n">
        <v>0.8</v>
      </c>
      <c r="F114" s="117" t="str">
        <f aca="false">IF(ABS(D114)&lt;E114,"PASS","FAIL")</f>
        <v>PASS</v>
      </c>
      <c r="G114" s="15" t="s">
        <v>2875</v>
      </c>
      <c r="J114" s="0" t="s">
        <v>2874</v>
      </c>
      <c r="K114" s="109" t="n">
        <v>40</v>
      </c>
      <c r="L114" s="109" t="n">
        <v>40</v>
      </c>
      <c r="P114" s="0" t="s">
        <v>2876</v>
      </c>
      <c r="Q114" s="109" t="n">
        <v>2232</v>
      </c>
      <c r="R114" s="109" t="n">
        <v>2232</v>
      </c>
      <c r="S114" s="109" t="n">
        <v>1</v>
      </c>
      <c r="T114" s="0" t="n">
        <f aca="false">IF(ABS($Q$114*$S$114-$R$114)&lt;11.16,0,1)</f>
        <v>0</v>
      </c>
    </row>
    <row r="115" customFormat="false" ht="22.35" hidden="false" customHeight="false" outlineLevel="0" collapsed="false">
      <c r="A115" s="68" t="s">
        <v>2877</v>
      </c>
      <c r="B115" s="11" t="n">
        <f aca="false">$K$115</f>
        <v>261.6</v>
      </c>
      <c r="C115" s="11" t="n">
        <f aca="false">$L$115</f>
        <v>261.6</v>
      </c>
      <c r="D115" s="11" t="n">
        <f aca="false">B115-C115</f>
        <v>0</v>
      </c>
      <c r="E115" s="11" t="n">
        <v>5.232</v>
      </c>
      <c r="F115" s="117" t="str">
        <f aca="false">IF(ABS(D115)&lt;E115,"PASS","FAIL")</f>
        <v>PASS</v>
      </c>
      <c r="G115" s="15" t="s">
        <v>2878</v>
      </c>
      <c r="J115" s="0" t="s">
        <v>2877</v>
      </c>
      <c r="K115" s="109" t="n">
        <v>261.6</v>
      </c>
      <c r="L115" s="109" t="n">
        <v>261.6</v>
      </c>
      <c r="P115" s="0" t="s">
        <v>2879</v>
      </c>
      <c r="Q115" s="109" t="n">
        <v>1443</v>
      </c>
      <c r="R115" s="109" t="n">
        <v>1443</v>
      </c>
      <c r="S115" s="109" t="n">
        <v>1</v>
      </c>
      <c r="T115" s="0" t="n">
        <f aca="false">IF(ABS($Q$115*$S$115-$R$115)&lt;7.215,0,1)</f>
        <v>0</v>
      </c>
    </row>
    <row r="116" customFormat="false" ht="22.35" hidden="false" customHeight="false" outlineLevel="0" collapsed="false">
      <c r="A116" s="68" t="s">
        <v>2880</v>
      </c>
      <c r="B116" s="11" t="n">
        <f aca="false">$K$116</f>
        <v>363.6</v>
      </c>
      <c r="C116" s="11" t="n">
        <f aca="false">$L$116</f>
        <v>363.6</v>
      </c>
      <c r="D116" s="11" t="n">
        <f aca="false">B116-C116</f>
        <v>0</v>
      </c>
      <c r="E116" s="11" t="n">
        <v>7.272</v>
      </c>
      <c r="F116" s="117" t="str">
        <f aca="false">IF(ABS(D116)&lt;E116,"PASS","FAIL")</f>
        <v>PASS</v>
      </c>
      <c r="G116" s="15" t="s">
        <v>2881</v>
      </c>
      <c r="J116" s="0" t="s">
        <v>2880</v>
      </c>
      <c r="K116" s="109" t="n">
        <v>363.6</v>
      </c>
      <c r="L116" s="109" t="n">
        <v>363.6</v>
      </c>
      <c r="P116" s="0" t="s">
        <v>2882</v>
      </c>
      <c r="Q116" s="109" t="n">
        <v>1419</v>
      </c>
      <c r="R116" s="109" t="n">
        <v>1419</v>
      </c>
      <c r="S116" s="109" t="n">
        <v>1</v>
      </c>
      <c r="T116" s="0" t="n">
        <f aca="false">IF(ABS($Q$116*$S$116-$R$116)&lt;7.095,0,1)</f>
        <v>0</v>
      </c>
    </row>
    <row r="117" customFormat="false" ht="23.85" hidden="false" customHeight="false" outlineLevel="0" collapsed="false">
      <c r="A117" s="68" t="s">
        <v>2883</v>
      </c>
      <c r="B117" s="11" t="n">
        <f aca="false">$K$117</f>
        <v>8</v>
      </c>
      <c r="C117" s="11" t="n">
        <f aca="false">$L$117</f>
        <v>8</v>
      </c>
      <c r="D117" s="11" t="n">
        <f aca="false">B117-C117</f>
        <v>0</v>
      </c>
      <c r="E117" s="11" t="n">
        <v>0.16</v>
      </c>
      <c r="F117" s="117" t="str">
        <f aca="false">IF(ABS(D117)&lt;E117,"PASS","FAIL")</f>
        <v>PASS</v>
      </c>
      <c r="G117" s="15" t="s">
        <v>2884</v>
      </c>
      <c r="J117" s="0" t="s">
        <v>2883</v>
      </c>
      <c r="K117" s="109" t="n">
        <v>8</v>
      </c>
      <c r="L117" s="109" t="n">
        <v>8</v>
      </c>
      <c r="P117" s="0" t="s">
        <v>2885</v>
      </c>
      <c r="Q117" s="109" t="n">
        <v>1023</v>
      </c>
      <c r="R117" s="109" t="n">
        <v>1023</v>
      </c>
      <c r="S117" s="109" t="n">
        <v>1</v>
      </c>
      <c r="T117" s="0" t="n">
        <f aca="false">IF(ABS($Q$117*$S$117-$R$117)&lt;5.115,0,1)</f>
        <v>0</v>
      </c>
    </row>
    <row r="118" customFormat="false" ht="22.35" hidden="false" customHeight="false" outlineLevel="0" collapsed="false">
      <c r="A118" s="68" t="s">
        <v>2886</v>
      </c>
      <c r="B118" s="11" t="n">
        <f aca="false">$K$118</f>
        <v>115727</v>
      </c>
      <c r="C118" s="11" t="n">
        <f aca="false">$L$118</f>
        <v>115727</v>
      </c>
      <c r="D118" s="11" t="n">
        <f aca="false">B118-C118</f>
        <v>0</v>
      </c>
      <c r="E118" s="11" t="n">
        <v>2314.54</v>
      </c>
      <c r="F118" s="117" t="str">
        <f aca="false">IF(ABS(D118)&lt;E118,"PASS","FAIL")</f>
        <v>PASS</v>
      </c>
      <c r="G118" s="15" t="s">
        <v>2887</v>
      </c>
      <c r="J118" s="0" t="s">
        <v>2886</v>
      </c>
      <c r="K118" s="109" t="n">
        <v>115727</v>
      </c>
      <c r="L118" s="109" t="n">
        <v>115727</v>
      </c>
      <c r="P118" s="0" t="s">
        <v>2888</v>
      </c>
      <c r="Q118" s="109" t="n">
        <v>1559</v>
      </c>
      <c r="R118" s="109" t="n">
        <v>1559</v>
      </c>
      <c r="S118" s="109" t="n">
        <v>1</v>
      </c>
      <c r="T118" s="0" t="n">
        <f aca="false">IF(ABS($Q$118*$S$118-$R$118)&lt;7.795,0,1)</f>
        <v>0</v>
      </c>
    </row>
    <row r="119" customFormat="false" ht="15" hidden="false" customHeight="false" outlineLevel="0" collapsed="false">
      <c r="P119" s="0" t="s">
        <v>2889</v>
      </c>
      <c r="Q119" s="109" t="n">
        <v>1243</v>
      </c>
      <c r="R119" s="109" t="n">
        <v>1243</v>
      </c>
      <c r="S119" s="109" t="n">
        <v>1</v>
      </c>
      <c r="T119" s="0" t="n">
        <f aca="false">IF(ABS($Q$119*$S$119-$R$119)&lt;6.215,0,1)</f>
        <v>0</v>
      </c>
    </row>
    <row r="120" customFormat="false" ht="15" hidden="false" customHeight="false" outlineLevel="0" collapsed="false">
      <c r="P120" s="0" t="s">
        <v>2890</v>
      </c>
      <c r="Q120" s="109" t="n">
        <v>1176</v>
      </c>
      <c r="R120" s="109" t="n">
        <v>1176</v>
      </c>
      <c r="S120" s="109" t="n">
        <v>1</v>
      </c>
      <c r="T120" s="0" t="n">
        <f aca="false">IF(ABS($Q$120*$S$120-$R$120)&lt;5.88,0,1)</f>
        <v>0</v>
      </c>
    </row>
    <row r="121" customFormat="false" ht="15" hidden="false" customHeight="false" outlineLevel="0" collapsed="false">
      <c r="P121" s="0" t="s">
        <v>2891</v>
      </c>
      <c r="Q121" s="109" t="n">
        <v>601</v>
      </c>
      <c r="R121" s="109" t="n">
        <v>601</v>
      </c>
      <c r="S121" s="109" t="n">
        <v>1</v>
      </c>
      <c r="T121" s="0" t="n">
        <f aca="false">IF(ABS($Q$121*$S$121-$R$121)&lt;3.005,0,1)</f>
        <v>0</v>
      </c>
    </row>
    <row r="122" customFormat="false" ht="24" hidden="false" customHeight="true" outlineLevel="0" collapsed="false">
      <c r="A122" s="1" t="s">
        <v>2892</v>
      </c>
      <c r="B122" s="1"/>
      <c r="C122" s="1"/>
      <c r="D122" s="1"/>
      <c r="E122" s="1"/>
      <c r="F122" s="1"/>
      <c r="G122" s="1"/>
      <c r="H122" s="1"/>
      <c r="P122" s="0" t="s">
        <v>2893</v>
      </c>
      <c r="Q122" s="109" t="n">
        <v>984</v>
      </c>
      <c r="R122" s="109" t="n">
        <v>984</v>
      </c>
      <c r="S122" s="109" t="n">
        <v>1</v>
      </c>
      <c r="T122" s="0" t="n">
        <f aca="false">IF(ABS($Q$122*$S$122-$R$122)&lt;4.92,0,1)</f>
        <v>0</v>
      </c>
    </row>
    <row r="123" customFormat="false" ht="15" hidden="false" customHeight="false" outlineLevel="0" collapsed="false">
      <c r="P123" s="0" t="s">
        <v>2894</v>
      </c>
      <c r="Q123" s="109" t="n">
        <v>500</v>
      </c>
      <c r="R123" s="109" t="n">
        <v>500</v>
      </c>
      <c r="S123" s="109" t="n">
        <v>1</v>
      </c>
      <c r="T123" s="0" t="n">
        <f aca="false">IF(ABS($Q$123*$S$123-$R$123)&lt;2.5,0,1)</f>
        <v>0</v>
      </c>
    </row>
    <row r="124" customFormat="false" ht="35.05" hidden="false" customHeight="false" outlineLevel="0" collapsed="false">
      <c r="A124" s="9" t="s">
        <v>13</v>
      </c>
      <c r="B124" s="9" t="s">
        <v>14</v>
      </c>
      <c r="C124" s="9" t="s">
        <v>15</v>
      </c>
      <c r="D124" s="9" t="s">
        <v>16</v>
      </c>
      <c r="E124" s="9" t="s">
        <v>17</v>
      </c>
      <c r="F124" s="9" t="s">
        <v>18</v>
      </c>
      <c r="G124" s="9" t="s">
        <v>9</v>
      </c>
      <c r="H124" s="9" t="s">
        <v>19</v>
      </c>
      <c r="I124" s="10" t="s">
        <v>20</v>
      </c>
      <c r="P124" s="0" t="s">
        <v>2895</v>
      </c>
      <c r="Q124" s="109" t="n">
        <v>1236</v>
      </c>
      <c r="R124" s="109" t="n">
        <v>1236</v>
      </c>
      <c r="S124" s="109" t="n">
        <v>1</v>
      </c>
      <c r="T124" s="0" t="n">
        <f aca="false">IF(ABS($Q$124*$S$124-$R$124)&lt;6.18,0,1)</f>
        <v>0</v>
      </c>
    </row>
    <row r="125" customFormat="false" ht="74.6" hidden="false" customHeight="false" outlineLevel="0" collapsed="false">
      <c r="A125" s="11" t="s">
        <v>21</v>
      </c>
      <c r="B125" s="12" t="n">
        <v>6000</v>
      </c>
      <c r="C125" s="11" t="s">
        <v>22</v>
      </c>
      <c r="D125" s="11" t="s">
        <v>23</v>
      </c>
      <c r="E125" s="13" t="n">
        <v>6000</v>
      </c>
      <c r="F125" s="11" t="s">
        <v>24</v>
      </c>
      <c r="G125" s="14" t="str">
        <f aca="false">IF(E125&gt;=B125-120,"PASS","FAIL")</f>
        <v>PASS</v>
      </c>
      <c r="H125" s="15" t="s">
        <v>25</v>
      </c>
      <c r="I125" s="16" t="str">
        <f aca="false">IF(AND(LEN(TRIM(A125&amp;""))&gt;0,TRIM(A125&amp;"")&lt;&gt;"—",LEN(TRIM(B125&amp;""))&gt;0,TRIM(B125&amp;"")&lt;&gt;"—",LEN(TRIM(G125&amp;""))&gt;0,TRIM(G125&amp;"")&lt;&gt;"—"),"PASS","⚠ FAIL — "&amp;"a required cell is empty/placeholder or wrong type")</f>
        <v>PASS</v>
      </c>
      <c r="P125" s="0" t="s">
        <v>2896</v>
      </c>
      <c r="Q125" s="109" t="n">
        <v>879</v>
      </c>
      <c r="R125" s="109" t="n">
        <v>879</v>
      </c>
      <c r="S125" s="109" t="n">
        <v>1</v>
      </c>
      <c r="T125" s="0" t="n">
        <f aca="false">IF(ABS($Q$125*$S$125-$R$125)&lt;4.395,0,1)</f>
        <v>0</v>
      </c>
    </row>
    <row r="126" customFormat="false" ht="85.05" hidden="false" customHeight="false" outlineLevel="0" collapsed="false">
      <c r="A126" s="11" t="s">
        <v>26</v>
      </c>
      <c r="B126" s="12" t="n">
        <v>120</v>
      </c>
      <c r="C126" s="11" t="s">
        <v>27</v>
      </c>
      <c r="D126" s="11" t="s">
        <v>26</v>
      </c>
      <c r="E126" s="13" t="n">
        <v>120</v>
      </c>
      <c r="F126" s="11" t="s">
        <v>24</v>
      </c>
      <c r="G126" s="14" t="str">
        <f aca="false">IF(E126&gt;=B126-2.4,"PASS","FAIL")</f>
        <v>PASS</v>
      </c>
      <c r="H126" s="15" t="s">
        <v>28</v>
      </c>
      <c r="I126" s="16" t="str">
        <f aca="false">IF(AND(LEN(TRIM(A126&amp;""))&gt;0,TRIM(A126&amp;"")&lt;&gt;"—",LEN(TRIM(B126&amp;""))&gt;0,TRIM(B126&amp;"")&lt;&gt;"—",LEN(TRIM(G126&amp;""))&gt;0,TRIM(G126&amp;"")&lt;&gt;"—"),"PASS","⚠ FAIL — "&amp;"a required cell is empty/placeholder or wrong type")</f>
        <v>PASS</v>
      </c>
      <c r="P126" s="0" t="s">
        <v>2897</v>
      </c>
      <c r="Q126" s="109" t="n">
        <v>516</v>
      </c>
      <c r="R126" s="109" t="n">
        <v>516</v>
      </c>
      <c r="S126" s="109" t="n">
        <v>1</v>
      </c>
      <c r="T126" s="0" t="n">
        <f aca="false">IF(ABS($Q$126*$S$126-$R$126)&lt;2.58,0,1)</f>
        <v>0</v>
      </c>
    </row>
    <row r="127" customFormat="false" ht="64.15" hidden="false" customHeight="false" outlineLevel="0" collapsed="false">
      <c r="A127" s="11" t="s">
        <v>29</v>
      </c>
      <c r="B127" s="12" t="n">
        <v>200</v>
      </c>
      <c r="C127" s="11" t="s">
        <v>22</v>
      </c>
      <c r="D127" s="11" t="s">
        <v>30</v>
      </c>
      <c r="E127" s="13" t="n">
        <v>200</v>
      </c>
      <c r="F127" s="11" t="s">
        <v>24</v>
      </c>
      <c r="G127" s="14" t="str">
        <f aca="false">IF(E127&gt;=B127-4,"PASS","FAIL")</f>
        <v>PASS</v>
      </c>
      <c r="H127" s="15" t="s">
        <v>31</v>
      </c>
      <c r="I127" s="16" t="str">
        <f aca="false">IF(AND(LEN(TRIM(A127&amp;""))&gt;0,TRIM(A127&amp;"")&lt;&gt;"—",LEN(TRIM(B127&amp;""))&gt;0,TRIM(B127&amp;"")&lt;&gt;"—",LEN(TRIM(G127&amp;""))&gt;0,TRIM(G127&amp;"")&lt;&gt;"—"),"PASS","⚠ FAIL — "&amp;"a required cell is empty/placeholder or wrong type")</f>
        <v>PASS</v>
      </c>
      <c r="P127" s="0" t="s">
        <v>2898</v>
      </c>
      <c r="Q127" s="109" t="n">
        <v>1138</v>
      </c>
      <c r="R127" s="109" t="n">
        <v>1138</v>
      </c>
      <c r="S127" s="109" t="n">
        <v>1</v>
      </c>
      <c r="T127" s="0" t="n">
        <f aca="false">IF(ABS($Q$127*$S$127-$R$127)&lt;5.69,0,1)</f>
        <v>0</v>
      </c>
    </row>
    <row r="128" customFormat="false" ht="74.6" hidden="false" customHeight="false" outlineLevel="0" collapsed="false">
      <c r="A128" s="11" t="s">
        <v>32</v>
      </c>
      <c r="B128" s="12" t="n">
        <v>45</v>
      </c>
      <c r="C128" s="11" t="s">
        <v>33</v>
      </c>
      <c r="D128" s="11" t="s">
        <v>34</v>
      </c>
      <c r="E128" s="13" t="n">
        <v>90</v>
      </c>
      <c r="F128" s="11" t="s">
        <v>24</v>
      </c>
      <c r="G128" s="14" t="str">
        <f aca="false">IF(E128&gt;=B128-0.9,"PASS","FAIL")</f>
        <v>PASS</v>
      </c>
      <c r="H128" s="15" t="s">
        <v>35</v>
      </c>
      <c r="I128" s="16" t="str">
        <f aca="false">IF(AND(LEN(TRIM(A128&amp;""))&gt;0,TRIM(A128&amp;"")&lt;&gt;"—",LEN(TRIM(B128&amp;""))&gt;0,TRIM(B128&amp;"")&lt;&gt;"—",LEN(TRIM(G128&amp;""))&gt;0,TRIM(G128&amp;"")&lt;&gt;"—"),"PASS","⚠ FAIL — "&amp;"a required cell is empty/placeholder or wrong type")</f>
        <v>PASS</v>
      </c>
      <c r="P128" s="0" t="s">
        <v>2899</v>
      </c>
      <c r="Q128" s="109" t="n">
        <v>312</v>
      </c>
      <c r="R128" s="109" t="n">
        <v>312</v>
      </c>
      <c r="S128" s="109" t="n">
        <v>1</v>
      </c>
      <c r="T128" s="0" t="n">
        <f aca="false">IF(ABS($Q$128*$S$128-$R$128)&lt;1.56,0,1)</f>
        <v>0</v>
      </c>
    </row>
    <row r="129" customFormat="false" ht="74.6" hidden="false" customHeight="false" outlineLevel="0" collapsed="false">
      <c r="A129" s="11" t="s">
        <v>36</v>
      </c>
      <c r="B129" s="12" t="n">
        <v>8</v>
      </c>
      <c r="C129" s="11" t="s">
        <v>33</v>
      </c>
      <c r="D129" s="11" t="s">
        <v>36</v>
      </c>
      <c r="E129" s="13" t="n">
        <v>8</v>
      </c>
      <c r="F129" s="11" t="s">
        <v>24</v>
      </c>
      <c r="G129" s="14" t="str">
        <f aca="false">IF(E129&gt;=B129-0.16,"PASS","FAIL")</f>
        <v>PASS</v>
      </c>
      <c r="H129" s="15" t="s">
        <v>37</v>
      </c>
      <c r="I129" s="16" t="str">
        <f aca="false">IF(AND(LEN(TRIM(A129&amp;""))&gt;0,TRIM(A129&amp;"")&lt;&gt;"—",LEN(TRIM(B129&amp;""))&gt;0,TRIM(B129&amp;"")&lt;&gt;"—",LEN(TRIM(G129&amp;""))&gt;0,TRIM(G129&amp;"")&lt;&gt;"—"),"PASS","⚠ FAIL — "&amp;"a required cell is empty/placeholder or wrong type")</f>
        <v>PASS</v>
      </c>
      <c r="P129" s="0" t="s">
        <v>2900</v>
      </c>
      <c r="Q129" s="109" t="n">
        <v>1273</v>
      </c>
      <c r="R129" s="109" t="n">
        <v>1273</v>
      </c>
      <c r="S129" s="109" t="n">
        <v>1</v>
      </c>
      <c r="T129" s="0" t="n">
        <f aca="false">IF(ABS($Q$129*$S$129-$R$129)&lt;6.365,0,1)</f>
        <v>0</v>
      </c>
    </row>
    <row r="130" customFormat="false" ht="85.05" hidden="false" customHeight="false" outlineLevel="0" collapsed="false">
      <c r="A130" s="11" t="s">
        <v>38</v>
      </c>
      <c r="B130" s="12" t="n">
        <v>25</v>
      </c>
      <c r="C130" s="11" t="s">
        <v>33</v>
      </c>
      <c r="D130" s="11" t="s">
        <v>39</v>
      </c>
      <c r="E130" s="13" t="n">
        <v>25</v>
      </c>
      <c r="F130" s="11" t="s">
        <v>24</v>
      </c>
      <c r="G130" s="14" t="str">
        <f aca="false">IF(E130&gt;=B130-0.5,"PASS","FAIL")</f>
        <v>PASS</v>
      </c>
      <c r="H130" s="15" t="s">
        <v>40</v>
      </c>
      <c r="I130" s="16" t="str">
        <f aca="false">IF(AND(LEN(TRIM(A130&amp;""))&gt;0,TRIM(A130&amp;"")&lt;&gt;"—",LEN(TRIM(B130&amp;""))&gt;0,TRIM(B130&amp;"")&lt;&gt;"—",LEN(TRIM(G130&amp;""))&gt;0,TRIM(G130&amp;"")&lt;&gt;"—"),"PASS","⚠ FAIL — "&amp;"a required cell is empty/placeholder or wrong type")</f>
        <v>PASS</v>
      </c>
      <c r="P130" s="0" t="s">
        <v>2901</v>
      </c>
      <c r="Q130" s="109" t="n">
        <v>1041</v>
      </c>
      <c r="R130" s="109" t="n">
        <v>1041</v>
      </c>
      <c r="S130" s="109" t="n">
        <v>1</v>
      </c>
      <c r="T130" s="0" t="n">
        <f aca="false">IF(ABS($Q$130*$S$130-$R$130)&lt;5.205,0,1)</f>
        <v>0</v>
      </c>
    </row>
    <row r="131" customFormat="false" ht="53.7" hidden="false" customHeight="false" outlineLevel="0" collapsed="false">
      <c r="A131" s="11" t="s">
        <v>41</v>
      </c>
      <c r="B131" s="12" t="n">
        <v>75</v>
      </c>
      <c r="C131" s="11" t="s">
        <v>42</v>
      </c>
      <c r="D131" s="11" t="s">
        <v>41</v>
      </c>
      <c r="E131" s="13" t="n">
        <v>75</v>
      </c>
      <c r="F131" s="11" t="s">
        <v>24</v>
      </c>
      <c r="G131" s="14" t="str">
        <f aca="false">IF(E131&gt;=B131-1.5,"PASS","FAIL")</f>
        <v>PASS</v>
      </c>
      <c r="H131" s="15" t="s">
        <v>43</v>
      </c>
      <c r="I131" s="16" t="str">
        <f aca="false">IF(AND(LEN(TRIM(A131&amp;""))&gt;0,TRIM(A131&amp;"")&lt;&gt;"—",LEN(TRIM(B131&amp;""))&gt;0,TRIM(B131&amp;"")&lt;&gt;"—",LEN(TRIM(G131&amp;""))&gt;0,TRIM(G131&amp;"")&lt;&gt;"—"),"PASS","⚠ FAIL — "&amp;"a required cell is empty/placeholder or wrong type")</f>
        <v>PASS</v>
      </c>
      <c r="P131" s="0" t="s">
        <v>2902</v>
      </c>
      <c r="Q131" s="109" t="n">
        <v>487</v>
      </c>
      <c r="R131" s="109" t="n">
        <v>487</v>
      </c>
      <c r="S131" s="109" t="n">
        <v>1</v>
      </c>
      <c r="T131" s="0" t="n">
        <f aca="false">IF(ABS($Q$131*$S$131-$R$131)&lt;2.435,0,1)</f>
        <v>0</v>
      </c>
    </row>
    <row r="132" customFormat="false" ht="15" hidden="false" customHeight="false" outlineLevel="0" collapsed="false">
      <c r="P132" s="0" t="s">
        <v>2903</v>
      </c>
      <c r="Q132" s="109" t="n">
        <v>909</v>
      </c>
      <c r="R132" s="109" t="n">
        <v>909</v>
      </c>
      <c r="S132" s="109" t="n">
        <v>1</v>
      </c>
      <c r="T132" s="0" t="n">
        <f aca="false">IF(ABS($Q$132*$S$132-$R$132)&lt;4.545,0,1)</f>
        <v>0</v>
      </c>
    </row>
    <row r="133" customFormat="false" ht="24" hidden="false" customHeight="true" outlineLevel="0" collapsed="false">
      <c r="A133" s="1" t="s">
        <v>2904</v>
      </c>
      <c r="B133" s="1"/>
      <c r="C133" s="1"/>
      <c r="D133" s="1"/>
      <c r="E133" s="1"/>
      <c r="F133" s="1"/>
      <c r="G133" s="1"/>
      <c r="H133" s="1"/>
      <c r="P133" s="0" t="s">
        <v>2905</v>
      </c>
      <c r="Q133" s="109" t="n">
        <v>1039</v>
      </c>
      <c r="R133" s="109" t="n">
        <v>1039</v>
      </c>
      <c r="S133" s="109" t="n">
        <v>1</v>
      </c>
      <c r="T133" s="0" t="n">
        <f aca="false">IF(ABS($Q$133*$S$133-$R$133)&lt;5.195,0,1)</f>
        <v>0</v>
      </c>
    </row>
    <row r="134" customFormat="false" ht="15" hidden="false" customHeight="false" outlineLevel="0" collapsed="false">
      <c r="P134" s="0" t="s">
        <v>2906</v>
      </c>
      <c r="Q134" s="109" t="n">
        <v>1169</v>
      </c>
      <c r="R134" s="109" t="n">
        <v>1169</v>
      </c>
      <c r="S134" s="109" t="n">
        <v>1</v>
      </c>
      <c r="T134" s="0" t="n">
        <f aca="false">IF(ABS($Q$134*$S$134-$R$134)&lt;5.845,0,1)</f>
        <v>0</v>
      </c>
    </row>
    <row r="135" customFormat="false" ht="23.85" hidden="false" customHeight="false" outlineLevel="0" collapsed="false">
      <c r="A135" s="9" t="s">
        <v>2907</v>
      </c>
      <c r="B135" s="9" t="s">
        <v>2908</v>
      </c>
      <c r="C135" s="9" t="s">
        <v>160</v>
      </c>
      <c r="D135" s="9" t="s">
        <v>15</v>
      </c>
      <c r="E135" s="9" t="s">
        <v>2909</v>
      </c>
      <c r="F135" s="9" t="s">
        <v>2910</v>
      </c>
      <c r="G135" s="9" t="s">
        <v>2227</v>
      </c>
      <c r="H135" s="10" t="s">
        <v>20</v>
      </c>
      <c r="P135" s="0" t="s">
        <v>2911</v>
      </c>
      <c r="Q135" s="109" t="n">
        <v>1169</v>
      </c>
      <c r="R135" s="109" t="n">
        <v>1169</v>
      </c>
      <c r="S135" s="109" t="n">
        <v>1</v>
      </c>
      <c r="T135" s="0" t="n">
        <f aca="false">IF(ABS($Q$135*$S$135-$R$135)&lt;5.845,0,1)</f>
        <v>0</v>
      </c>
    </row>
    <row r="136" customFormat="false" ht="22.35" hidden="false" customHeight="false" outlineLevel="0" collapsed="false">
      <c r="A136" s="11" t="s">
        <v>2912</v>
      </c>
      <c r="B136" s="11" t="s">
        <v>2913</v>
      </c>
      <c r="C136" s="80" t="n">
        <v>0.741</v>
      </c>
      <c r="D136" s="11" t="s">
        <v>2914</v>
      </c>
      <c r="E136" s="15" t="s">
        <v>2915</v>
      </c>
      <c r="F136" s="11" t="s">
        <v>2916</v>
      </c>
      <c r="G136" s="14" t="s">
        <v>2917</v>
      </c>
      <c r="H136" s="16" t="str">
        <f aca="false">IF(AND(LEN(TRIM(A136&amp;""))&gt;0,TRIM(A136&amp;"")&lt;&gt;"—",LEN(TRIM(B136&amp;""))&gt;0,TRIM(B136&amp;"")&lt;&gt;"—",LEN(TRIM(C136&amp;""))&gt;0,TRIM(C136&amp;"")&lt;&gt;"—",LEN(TRIM(G136&amp;""))&gt;0,TRIM(G136&amp;"")&lt;&gt;"—"),"PASS","⚠ FAIL — "&amp;"a required cell is empty/placeholder or wrong type")</f>
        <v>PASS</v>
      </c>
      <c r="P136" s="0" t="s">
        <v>2918</v>
      </c>
      <c r="Q136" s="109" t="n">
        <v>413</v>
      </c>
      <c r="R136" s="109" t="n">
        <v>413</v>
      </c>
      <c r="S136" s="109" t="n">
        <v>1</v>
      </c>
      <c r="T136" s="0" t="n">
        <f aca="false">IF(ABS($Q$136*$S$136-$R$136)&lt;2.065,0,1)</f>
        <v>0</v>
      </c>
    </row>
    <row r="137" customFormat="false" ht="22.35" hidden="false" customHeight="false" outlineLevel="0" collapsed="false">
      <c r="A137" s="11" t="s">
        <v>2919</v>
      </c>
      <c r="B137" s="11" t="s">
        <v>2920</v>
      </c>
      <c r="C137" s="80" t="n">
        <v>0.296464</v>
      </c>
      <c r="D137" s="11"/>
      <c r="E137" s="15" t="s">
        <v>2915</v>
      </c>
      <c r="F137" s="11" t="s">
        <v>2921</v>
      </c>
      <c r="G137" s="14" t="s">
        <v>2917</v>
      </c>
      <c r="H137" s="16" t="str">
        <f aca="false">IF(AND(LEN(TRIM(A137&amp;""))&gt;0,TRIM(A137&amp;"")&lt;&gt;"—",LEN(TRIM(B137&amp;""))&gt;0,TRIM(B137&amp;"")&lt;&gt;"—",LEN(TRIM(C137&amp;""))&gt;0,TRIM(C137&amp;"")&lt;&gt;"—",LEN(TRIM(G137&amp;""))&gt;0,TRIM(G137&amp;"")&lt;&gt;"—"),"PASS","⚠ FAIL — "&amp;"a required cell is empty/placeholder or wrong type")</f>
        <v>PASS</v>
      </c>
      <c r="P137" s="0" t="s">
        <v>2922</v>
      </c>
      <c r="Q137" s="109" t="n">
        <v>921</v>
      </c>
      <c r="R137" s="109" t="n">
        <v>921</v>
      </c>
      <c r="S137" s="109" t="n">
        <v>1</v>
      </c>
      <c r="T137" s="0" t="n">
        <f aca="false">IF(ABS($Q$137*$S$137-$R$137)&lt;4.605,0,1)</f>
        <v>0</v>
      </c>
    </row>
    <row r="138" customFormat="false" ht="43.25" hidden="false" customHeight="false" outlineLevel="0" collapsed="false">
      <c r="A138" s="11" t="s">
        <v>2923</v>
      </c>
      <c r="B138" s="11" t="s">
        <v>2924</v>
      </c>
      <c r="C138" s="80" t="n">
        <v>25</v>
      </c>
      <c r="D138" s="11" t="s">
        <v>2925</v>
      </c>
      <c r="E138" s="15" t="s">
        <v>2926</v>
      </c>
      <c r="F138" s="11" t="s">
        <v>2927</v>
      </c>
      <c r="G138" s="14" t="s">
        <v>2917</v>
      </c>
      <c r="H138" s="16" t="str">
        <f aca="false">IF(AND(LEN(TRIM(A138&amp;""))&gt;0,TRIM(A138&amp;"")&lt;&gt;"—",LEN(TRIM(B138&amp;""))&gt;0,TRIM(B138&amp;"")&lt;&gt;"—",LEN(TRIM(C138&amp;""))&gt;0,TRIM(C138&amp;"")&lt;&gt;"—",LEN(TRIM(G138&amp;""))&gt;0,TRIM(G138&amp;"")&lt;&gt;"—"),"PASS","⚠ FAIL — "&amp;"a required cell is empty/placeholder or wrong type")</f>
        <v>PASS</v>
      </c>
      <c r="P138" s="0" t="s">
        <v>2928</v>
      </c>
      <c r="Q138" s="109" t="n">
        <v>678</v>
      </c>
      <c r="R138" s="109" t="n">
        <v>678</v>
      </c>
      <c r="S138" s="109" t="n">
        <v>1</v>
      </c>
      <c r="T138" s="0" t="n">
        <f aca="false">IF(ABS($Q$138*$S$138-$R$138)&lt;3.39,0,1)</f>
        <v>0</v>
      </c>
    </row>
    <row r="139" customFormat="false" ht="43.25" hidden="false" customHeight="false" outlineLevel="0" collapsed="false">
      <c r="A139" s="11" t="s">
        <v>2923</v>
      </c>
      <c r="B139" s="11" t="s">
        <v>2929</v>
      </c>
      <c r="C139" s="80" t="n">
        <v>2.03</v>
      </c>
      <c r="D139" s="11" t="s">
        <v>42</v>
      </c>
      <c r="E139" s="15" t="s">
        <v>2926</v>
      </c>
      <c r="F139" s="11" t="s">
        <v>2930</v>
      </c>
      <c r="G139" s="14" t="s">
        <v>2917</v>
      </c>
      <c r="H139" s="16" t="str">
        <f aca="false">IF(AND(LEN(TRIM(A139&amp;""))&gt;0,TRIM(A139&amp;"")&lt;&gt;"—",LEN(TRIM(B139&amp;""))&gt;0,TRIM(B139&amp;"")&lt;&gt;"—",LEN(TRIM(C139&amp;""))&gt;0,TRIM(C139&amp;"")&lt;&gt;"—",LEN(TRIM(G139&amp;""))&gt;0,TRIM(G139&amp;"")&lt;&gt;"—"),"PASS","⚠ FAIL — "&amp;"a required cell is empty/placeholder or wrong type")</f>
        <v>PASS</v>
      </c>
      <c r="P139" s="0" t="s">
        <v>2931</v>
      </c>
      <c r="Q139" s="109" t="n">
        <v>1059</v>
      </c>
      <c r="R139" s="109" t="n">
        <v>1059</v>
      </c>
      <c r="S139" s="109" t="n">
        <v>1</v>
      </c>
      <c r="T139" s="0" t="n">
        <f aca="false">IF(ABS($Q$139*$S$139-$R$139)&lt;5.295,0,1)</f>
        <v>0</v>
      </c>
    </row>
    <row r="140" customFormat="false" ht="22.35" hidden="false" customHeight="false" outlineLevel="0" collapsed="false">
      <c r="A140" s="11" t="s">
        <v>2932</v>
      </c>
      <c r="B140" s="11" t="s">
        <v>2933</v>
      </c>
      <c r="C140" s="80" t="n">
        <v>75</v>
      </c>
      <c r="D140" s="11" t="s">
        <v>1585</v>
      </c>
      <c r="E140" s="15" t="s">
        <v>2915</v>
      </c>
      <c r="F140" s="11" t="s">
        <v>2934</v>
      </c>
      <c r="G140" s="14" t="s">
        <v>2917</v>
      </c>
      <c r="H140" s="16" t="str">
        <f aca="false">IF(AND(LEN(TRIM(A140&amp;""))&gt;0,TRIM(A140&amp;"")&lt;&gt;"—",LEN(TRIM(B140&amp;""))&gt;0,TRIM(B140&amp;"")&lt;&gt;"—",LEN(TRIM(C140&amp;""))&gt;0,TRIM(C140&amp;"")&lt;&gt;"—",LEN(TRIM(G140&amp;""))&gt;0,TRIM(G140&amp;"")&lt;&gt;"—"),"PASS","⚠ FAIL — "&amp;"a required cell is empty/placeholder or wrong type")</f>
        <v>PASS</v>
      </c>
      <c r="P140" s="0" t="s">
        <v>2935</v>
      </c>
      <c r="Q140" s="109" t="n">
        <v>318</v>
      </c>
      <c r="R140" s="109" t="n">
        <v>318</v>
      </c>
      <c r="S140" s="109" t="n">
        <v>1</v>
      </c>
      <c r="T140" s="0" t="n">
        <f aca="false">IF(ABS($Q$140*$S$140-$R$140)&lt;1.59,0,1)</f>
        <v>0</v>
      </c>
    </row>
    <row r="141" customFormat="false" ht="22.35" hidden="false" customHeight="false" outlineLevel="0" collapsed="false">
      <c r="A141" s="11" t="s">
        <v>2932</v>
      </c>
      <c r="B141" s="11" t="s">
        <v>2936</v>
      </c>
      <c r="C141" s="80" t="n">
        <v>108.25</v>
      </c>
      <c r="D141" s="11" t="s">
        <v>1568</v>
      </c>
      <c r="E141" s="15" t="s">
        <v>2915</v>
      </c>
      <c r="F141" s="11" t="s">
        <v>2937</v>
      </c>
      <c r="G141" s="14" t="s">
        <v>2917</v>
      </c>
      <c r="H141" s="16" t="str">
        <f aca="false">IF(AND(LEN(TRIM(A141&amp;""))&gt;0,TRIM(A141&amp;"")&lt;&gt;"—",LEN(TRIM(B141&amp;""))&gt;0,TRIM(B141&amp;"")&lt;&gt;"—",LEN(TRIM(C141&amp;""))&gt;0,TRIM(C141&amp;"")&lt;&gt;"—",LEN(TRIM(G141&amp;""))&gt;0,TRIM(G141&amp;"")&lt;&gt;"—"),"PASS","⚠ FAIL — "&amp;"a required cell is empty/placeholder or wrong type")</f>
        <v>PASS</v>
      </c>
      <c r="P141" s="0" t="s">
        <v>2938</v>
      </c>
      <c r="Q141" s="109" t="n">
        <v>1069</v>
      </c>
      <c r="R141" s="109" t="n">
        <v>1069</v>
      </c>
      <c r="S141" s="109" t="n">
        <v>1</v>
      </c>
      <c r="T141" s="0" t="n">
        <f aca="false">IF(ABS($Q$141*$S$141-$R$141)&lt;5.345,0,1)</f>
        <v>0</v>
      </c>
    </row>
    <row r="142" customFormat="false" ht="137.3" hidden="false" customHeight="false" outlineLevel="0" collapsed="false">
      <c r="A142" s="11" t="s">
        <v>2939</v>
      </c>
      <c r="B142" s="11" t="s">
        <v>2940</v>
      </c>
      <c r="C142" s="80" t="n">
        <v>90</v>
      </c>
      <c r="D142" s="11" t="s">
        <v>163</v>
      </c>
      <c r="E142" s="15" t="s">
        <v>2941</v>
      </c>
      <c r="F142" s="11" t="s">
        <v>2942</v>
      </c>
      <c r="G142" s="14" t="s">
        <v>2917</v>
      </c>
      <c r="H142" s="16" t="str">
        <f aca="false">IF(AND(LEN(TRIM(A142&amp;""))&gt;0,TRIM(A142&amp;"")&lt;&gt;"—",LEN(TRIM(B142&amp;""))&gt;0,TRIM(B142&amp;"")&lt;&gt;"—",LEN(TRIM(C142&amp;""))&gt;0,TRIM(C142&amp;"")&lt;&gt;"—",LEN(TRIM(G142&amp;""))&gt;0,TRIM(G142&amp;"")&lt;&gt;"—"),"PASS","⚠ FAIL — "&amp;"a required cell is empty/placeholder or wrong type")</f>
        <v>PASS</v>
      </c>
      <c r="P142" s="0" t="s">
        <v>2943</v>
      </c>
      <c r="Q142" s="109" t="n">
        <v>1158</v>
      </c>
      <c r="R142" s="109" t="n">
        <v>1158</v>
      </c>
      <c r="S142" s="109" t="n">
        <v>1</v>
      </c>
      <c r="T142" s="0" t="n">
        <f aca="false">IF(ABS($Q$142*$S$142-$R$142)&lt;5.79,0,1)</f>
        <v>0</v>
      </c>
    </row>
    <row r="143" customFormat="false" ht="95.5" hidden="false" customHeight="false" outlineLevel="0" collapsed="false">
      <c r="A143" s="11" t="s">
        <v>2939</v>
      </c>
      <c r="B143" s="11" t="s">
        <v>2944</v>
      </c>
      <c r="C143" s="80" t="n">
        <v>4.1</v>
      </c>
      <c r="D143" s="11" t="s">
        <v>1588</v>
      </c>
      <c r="E143" s="15" t="s">
        <v>2945</v>
      </c>
      <c r="F143" s="11" t="s">
        <v>2946</v>
      </c>
      <c r="G143" s="14" t="s">
        <v>2917</v>
      </c>
      <c r="H143" s="16" t="str">
        <f aca="false">IF(AND(LEN(TRIM(A143&amp;""))&gt;0,TRIM(A143&amp;"")&lt;&gt;"—",LEN(TRIM(B143&amp;""))&gt;0,TRIM(B143&amp;"")&lt;&gt;"—",LEN(TRIM(C143&amp;""))&gt;0,TRIM(C143&amp;"")&lt;&gt;"—",LEN(TRIM(G143&amp;""))&gt;0,TRIM(G143&amp;"")&lt;&gt;"—"),"PASS","⚠ FAIL — "&amp;"a required cell is empty/placeholder or wrong type")</f>
        <v>PASS</v>
      </c>
      <c r="P143" s="0" t="s">
        <v>2947</v>
      </c>
      <c r="Q143" s="109" t="n">
        <v>1493</v>
      </c>
      <c r="R143" s="109" t="n">
        <v>1493</v>
      </c>
      <c r="S143" s="109" t="n">
        <v>1</v>
      </c>
      <c r="T143" s="0" t="n">
        <f aca="false">IF(ABS($Q$143*$S$143-$R$143)&lt;7.465,0,1)</f>
        <v>0</v>
      </c>
    </row>
    <row r="144" customFormat="false" ht="105.95" hidden="false" customHeight="false" outlineLevel="0" collapsed="false">
      <c r="A144" s="11" t="s">
        <v>2939</v>
      </c>
      <c r="B144" s="11" t="s">
        <v>2948</v>
      </c>
      <c r="C144" s="80" t="n">
        <v>1</v>
      </c>
      <c r="D144" s="11" t="s">
        <v>2949</v>
      </c>
      <c r="E144" s="15" t="s">
        <v>2950</v>
      </c>
      <c r="F144" s="11" t="s">
        <v>2951</v>
      </c>
      <c r="G144" s="14" t="s">
        <v>2917</v>
      </c>
      <c r="H144" s="16" t="str">
        <f aca="false">IF(AND(LEN(TRIM(A144&amp;""))&gt;0,TRIM(A144&amp;"")&lt;&gt;"—",LEN(TRIM(B144&amp;""))&gt;0,TRIM(B144&amp;"")&lt;&gt;"—",LEN(TRIM(C144&amp;""))&gt;0,TRIM(C144&amp;"")&lt;&gt;"—",LEN(TRIM(G144&amp;""))&gt;0,TRIM(G144&amp;"")&lt;&gt;"—"),"PASS","⚠ FAIL — "&amp;"a required cell is empty/placeholder or wrong type")</f>
        <v>PASS</v>
      </c>
      <c r="P144" s="0" t="s">
        <v>2952</v>
      </c>
      <c r="Q144" s="109" t="n">
        <v>897</v>
      </c>
      <c r="R144" s="109" t="n">
        <v>897</v>
      </c>
      <c r="S144" s="109" t="n">
        <v>1</v>
      </c>
      <c r="T144" s="0" t="n">
        <f aca="false">IF(ABS($Q$144*$S$144-$R$144)&lt;4.485,0,1)</f>
        <v>0</v>
      </c>
    </row>
    <row r="145" customFormat="false" ht="126.85" hidden="false" customHeight="false" outlineLevel="0" collapsed="false">
      <c r="A145" s="11" t="s">
        <v>2953</v>
      </c>
      <c r="B145" s="11" t="s">
        <v>2954</v>
      </c>
      <c r="C145" s="80" t="n">
        <v>53</v>
      </c>
      <c r="D145" s="11" t="s">
        <v>1588</v>
      </c>
      <c r="E145" s="15" t="s">
        <v>2955</v>
      </c>
      <c r="F145" s="11" t="s">
        <v>2956</v>
      </c>
      <c r="G145" s="14" t="s">
        <v>2917</v>
      </c>
      <c r="H145" s="16" t="str">
        <f aca="false">IF(AND(LEN(TRIM(A145&amp;""))&gt;0,TRIM(A145&amp;"")&lt;&gt;"—",LEN(TRIM(B145&amp;""))&gt;0,TRIM(B145&amp;"")&lt;&gt;"—",LEN(TRIM(C145&amp;""))&gt;0,TRIM(C145&amp;"")&lt;&gt;"—",LEN(TRIM(G145&amp;""))&gt;0,TRIM(G145&amp;"")&lt;&gt;"—"),"PASS","⚠ FAIL — "&amp;"a required cell is empty/placeholder or wrong type")</f>
        <v>PASS</v>
      </c>
      <c r="P145" s="0" t="s">
        <v>2957</v>
      </c>
      <c r="Q145" s="109" t="n">
        <v>1004</v>
      </c>
      <c r="R145" s="109" t="n">
        <v>1004</v>
      </c>
      <c r="S145" s="109" t="n">
        <v>1</v>
      </c>
      <c r="T145" s="0" t="n">
        <f aca="false">IF(ABS($Q$145*$S$145-$R$145)&lt;5.02,0,1)</f>
        <v>0</v>
      </c>
    </row>
    <row r="146" customFormat="false" ht="105.95" hidden="false" customHeight="false" outlineLevel="0" collapsed="false">
      <c r="A146" s="11" t="s">
        <v>2958</v>
      </c>
      <c r="B146" s="11" t="s">
        <v>2959</v>
      </c>
      <c r="C146" s="80" t="n">
        <v>90</v>
      </c>
      <c r="D146" s="11" t="s">
        <v>163</v>
      </c>
      <c r="E146" s="15" t="s">
        <v>2960</v>
      </c>
      <c r="F146" s="11" t="s">
        <v>2961</v>
      </c>
      <c r="G146" s="14" t="s">
        <v>2917</v>
      </c>
      <c r="H146" s="16" t="str">
        <f aca="false">IF(AND(LEN(TRIM(A146&amp;""))&gt;0,TRIM(A146&amp;"")&lt;&gt;"—",LEN(TRIM(B146&amp;""))&gt;0,TRIM(B146&amp;"")&lt;&gt;"—",LEN(TRIM(C146&amp;""))&gt;0,TRIM(C146&amp;"")&lt;&gt;"—",LEN(TRIM(G146&amp;""))&gt;0,TRIM(G146&amp;"")&lt;&gt;"—"),"PASS","⚠ FAIL — "&amp;"a required cell is empty/placeholder or wrong type")</f>
        <v>PASS</v>
      </c>
      <c r="P146" s="0" t="s">
        <v>2962</v>
      </c>
      <c r="Q146" s="109" t="n">
        <v>875</v>
      </c>
      <c r="R146" s="109" t="n">
        <v>875</v>
      </c>
      <c r="S146" s="109" t="n">
        <v>1</v>
      </c>
      <c r="T146" s="0" t="n">
        <f aca="false">IF(ABS($Q$146*$S$146-$R$146)&lt;4.375,0,1)</f>
        <v>0</v>
      </c>
    </row>
    <row r="147" customFormat="false" ht="74.6" hidden="false" customHeight="false" outlineLevel="0" collapsed="false">
      <c r="A147" s="11" t="s">
        <v>2958</v>
      </c>
      <c r="B147" s="11" t="s">
        <v>2963</v>
      </c>
      <c r="C147" s="80" t="n">
        <v>120</v>
      </c>
      <c r="D147" s="11" t="s">
        <v>2964</v>
      </c>
      <c r="E147" s="15" t="s">
        <v>2965</v>
      </c>
      <c r="F147" s="11" t="s">
        <v>2966</v>
      </c>
      <c r="G147" s="14" t="s">
        <v>2917</v>
      </c>
      <c r="H147" s="16" t="str">
        <f aca="false">IF(AND(LEN(TRIM(A147&amp;""))&gt;0,TRIM(A147&amp;"")&lt;&gt;"—",LEN(TRIM(B147&amp;""))&gt;0,TRIM(B147&amp;"")&lt;&gt;"—",LEN(TRIM(C147&amp;""))&gt;0,TRIM(C147&amp;"")&lt;&gt;"—",LEN(TRIM(G147&amp;""))&gt;0,TRIM(G147&amp;"")&lt;&gt;"—"),"PASS","⚠ FAIL — "&amp;"a required cell is empty/placeholder or wrong type")</f>
        <v>PASS</v>
      </c>
      <c r="P147" s="0" t="s">
        <v>2967</v>
      </c>
      <c r="Q147" s="109" t="n">
        <v>625</v>
      </c>
      <c r="R147" s="109" t="n">
        <v>625</v>
      </c>
      <c r="S147" s="109" t="n">
        <v>1</v>
      </c>
      <c r="T147" s="0" t="n">
        <f aca="false">IF(ABS($Q$147*$S$147-$R$147)&lt;3.125,0,1)</f>
        <v>0</v>
      </c>
    </row>
    <row r="148" customFormat="false" ht="64.15" hidden="false" customHeight="false" outlineLevel="0" collapsed="false">
      <c r="A148" s="11" t="s">
        <v>2958</v>
      </c>
      <c r="B148" s="11" t="s">
        <v>2968</v>
      </c>
      <c r="C148" s="80" t="n">
        <v>1.5</v>
      </c>
      <c r="D148" s="11" t="s">
        <v>2964</v>
      </c>
      <c r="E148" s="15" t="s">
        <v>2969</v>
      </c>
      <c r="F148" s="11" t="s">
        <v>2970</v>
      </c>
      <c r="G148" s="14" t="s">
        <v>2917</v>
      </c>
      <c r="H148" s="16" t="str">
        <f aca="false">IF(AND(LEN(TRIM(A148&amp;""))&gt;0,TRIM(A148&amp;"")&lt;&gt;"—",LEN(TRIM(B148&amp;""))&gt;0,TRIM(B148&amp;"")&lt;&gt;"—",LEN(TRIM(C148&amp;""))&gt;0,TRIM(C148&amp;"")&lt;&gt;"—",LEN(TRIM(G148&amp;""))&gt;0,TRIM(G148&amp;"")&lt;&gt;"—"),"PASS","⚠ FAIL — "&amp;"a required cell is empty/placeholder or wrong type")</f>
        <v>PASS</v>
      </c>
      <c r="P148" s="0" t="s">
        <v>2971</v>
      </c>
      <c r="Q148" s="109" t="n">
        <v>1384</v>
      </c>
      <c r="R148" s="109" t="n">
        <v>1384</v>
      </c>
      <c r="S148" s="109" t="n">
        <v>1</v>
      </c>
      <c r="T148" s="0" t="n">
        <f aca="false">IF(ABS($Q$148*$S$148-$R$148)&lt;6.92,0,1)</f>
        <v>0</v>
      </c>
    </row>
    <row r="149" customFormat="false" ht="74.6" hidden="false" customHeight="false" outlineLevel="0" collapsed="false">
      <c r="A149" s="11" t="s">
        <v>2958</v>
      </c>
      <c r="B149" s="11" t="s">
        <v>2972</v>
      </c>
      <c r="C149" s="80" t="n">
        <v>90</v>
      </c>
      <c r="D149" s="11" t="s">
        <v>163</v>
      </c>
      <c r="E149" s="15" t="s">
        <v>2973</v>
      </c>
      <c r="F149" s="11" t="s">
        <v>2974</v>
      </c>
      <c r="G149" s="14" t="s">
        <v>2917</v>
      </c>
      <c r="H149" s="16" t="str">
        <f aca="false">IF(AND(LEN(TRIM(A149&amp;""))&gt;0,TRIM(A149&amp;"")&lt;&gt;"—",LEN(TRIM(B149&amp;""))&gt;0,TRIM(B149&amp;"")&lt;&gt;"—",LEN(TRIM(C149&amp;""))&gt;0,TRIM(C149&amp;"")&lt;&gt;"—",LEN(TRIM(G149&amp;""))&gt;0,TRIM(G149&amp;"")&lt;&gt;"—"),"PASS","⚠ FAIL — "&amp;"a required cell is empty/placeholder or wrong type")</f>
        <v>PASS</v>
      </c>
      <c r="P149" s="0" t="s">
        <v>2975</v>
      </c>
      <c r="Q149" s="109" t="n">
        <v>406</v>
      </c>
      <c r="R149" s="109" t="n">
        <v>406</v>
      </c>
      <c r="S149" s="109" t="n">
        <v>1</v>
      </c>
      <c r="T149" s="0" t="n">
        <f aca="false">IF(ABS($Q$149*$S$149-$R$149)&lt;2.03,0,1)</f>
        <v>0</v>
      </c>
    </row>
    <row r="150" customFormat="false" ht="64.15" hidden="false" customHeight="false" outlineLevel="0" collapsed="false">
      <c r="A150" s="11" t="s">
        <v>2958</v>
      </c>
      <c r="B150" s="11" t="s">
        <v>2976</v>
      </c>
      <c r="C150" s="80" t="n">
        <v>53</v>
      </c>
      <c r="D150" s="11" t="s">
        <v>1588</v>
      </c>
      <c r="E150" s="15" t="s">
        <v>2977</v>
      </c>
      <c r="F150" s="11" t="s">
        <v>2978</v>
      </c>
      <c r="G150" s="14" t="s">
        <v>2917</v>
      </c>
      <c r="H150" s="16" t="str">
        <f aca="false">IF(AND(LEN(TRIM(A150&amp;""))&gt;0,TRIM(A150&amp;"")&lt;&gt;"—",LEN(TRIM(B150&amp;""))&gt;0,TRIM(B150&amp;"")&lt;&gt;"—",LEN(TRIM(C150&amp;""))&gt;0,TRIM(C150&amp;"")&lt;&gt;"—",LEN(TRIM(G150&amp;""))&gt;0,TRIM(G150&amp;"")&lt;&gt;"—"),"PASS","⚠ FAIL — "&amp;"a required cell is empty/placeholder or wrong type")</f>
        <v>PASS</v>
      </c>
      <c r="P150" s="0" t="s">
        <v>2979</v>
      </c>
      <c r="Q150" s="109" t="n">
        <v>1296</v>
      </c>
      <c r="R150" s="109" t="n">
        <v>1296</v>
      </c>
      <c r="S150" s="109" t="n">
        <v>1</v>
      </c>
      <c r="T150" s="0" t="n">
        <f aca="false">IF(ABS($Q$150*$S$150-$R$150)&lt;6.48,0,1)</f>
        <v>0</v>
      </c>
    </row>
    <row r="151" customFormat="false" ht="147.75" hidden="false" customHeight="false" outlineLevel="0" collapsed="false">
      <c r="A151" s="11" t="s">
        <v>2958</v>
      </c>
      <c r="B151" s="11" t="s">
        <v>2980</v>
      </c>
      <c r="C151" s="80" t="n">
        <v>106</v>
      </c>
      <c r="D151" s="11" t="s">
        <v>1568</v>
      </c>
      <c r="E151" s="15" t="s">
        <v>2981</v>
      </c>
      <c r="F151" s="11" t="s">
        <v>2982</v>
      </c>
      <c r="G151" s="14" t="s">
        <v>2917</v>
      </c>
      <c r="H151" s="16" t="str">
        <f aca="false">IF(AND(LEN(TRIM(A151&amp;""))&gt;0,TRIM(A151&amp;"")&lt;&gt;"—",LEN(TRIM(B151&amp;""))&gt;0,TRIM(B151&amp;"")&lt;&gt;"—",LEN(TRIM(C151&amp;""))&gt;0,TRIM(C151&amp;"")&lt;&gt;"—",LEN(TRIM(G151&amp;""))&gt;0,TRIM(G151&amp;"")&lt;&gt;"—"),"PASS","⚠ FAIL — "&amp;"a required cell is empty/placeholder or wrong type")</f>
        <v>PASS</v>
      </c>
      <c r="P151" s="0" t="s">
        <v>2983</v>
      </c>
      <c r="Q151" s="109" t="n">
        <v>43</v>
      </c>
      <c r="R151" s="109" t="n">
        <v>43</v>
      </c>
      <c r="S151" s="109" t="n">
        <v>1</v>
      </c>
      <c r="T151" s="0" t="n">
        <f aca="false">IF(ABS($Q$151*$S$151-$R$151)&lt;1,0,1)</f>
        <v>0</v>
      </c>
    </row>
    <row r="152" customFormat="false" ht="147.75" hidden="false" customHeight="false" outlineLevel="0" collapsed="false">
      <c r="A152" s="11" t="s">
        <v>2958</v>
      </c>
      <c r="B152" s="11" t="s">
        <v>2984</v>
      </c>
      <c r="C152" s="80" t="n">
        <v>125</v>
      </c>
      <c r="D152" s="11" t="s">
        <v>1568</v>
      </c>
      <c r="E152" s="15" t="s">
        <v>2981</v>
      </c>
      <c r="F152" s="11" t="s">
        <v>2985</v>
      </c>
      <c r="G152" s="14" t="s">
        <v>2917</v>
      </c>
      <c r="H152" s="16" t="str">
        <f aca="false">IF(AND(LEN(TRIM(A152&amp;""))&gt;0,TRIM(A152&amp;"")&lt;&gt;"—",LEN(TRIM(B152&amp;""))&gt;0,TRIM(B152&amp;"")&lt;&gt;"—",LEN(TRIM(C152&amp;""))&gt;0,TRIM(C152&amp;"")&lt;&gt;"—",LEN(TRIM(G152&amp;""))&gt;0,TRIM(G152&amp;"")&lt;&gt;"—"),"PASS","⚠ FAIL — "&amp;"a required cell is empty/placeholder or wrong type")</f>
        <v>PASS</v>
      </c>
      <c r="P152" s="0" t="s">
        <v>2986</v>
      </c>
      <c r="Q152" s="109" t="n">
        <v>37</v>
      </c>
      <c r="R152" s="109" t="n">
        <v>37</v>
      </c>
      <c r="S152" s="109" t="n">
        <v>1</v>
      </c>
      <c r="T152" s="0" t="n">
        <f aca="false">IF(ABS($Q$152*$S$152-$R$152)&lt;1,0,1)</f>
        <v>0</v>
      </c>
    </row>
    <row r="153" customFormat="false" ht="64.15" hidden="false" customHeight="false" outlineLevel="0" collapsed="false">
      <c r="A153" s="11" t="s">
        <v>2987</v>
      </c>
      <c r="B153" s="11" t="s">
        <v>2988</v>
      </c>
      <c r="C153" s="80" t="n">
        <v>1.8</v>
      </c>
      <c r="D153" s="11" t="s">
        <v>2964</v>
      </c>
      <c r="E153" s="15" t="s">
        <v>2989</v>
      </c>
      <c r="F153" s="11" t="s">
        <v>2990</v>
      </c>
      <c r="G153" s="14" t="s">
        <v>2917</v>
      </c>
      <c r="H153" s="16" t="str">
        <f aca="false">IF(AND(LEN(TRIM(A153&amp;""))&gt;0,TRIM(A153&amp;"")&lt;&gt;"—",LEN(TRIM(B153&amp;""))&gt;0,TRIM(B153&amp;"")&lt;&gt;"—",LEN(TRIM(C153&amp;""))&gt;0,TRIM(C153&amp;"")&lt;&gt;"—",LEN(TRIM(G153&amp;""))&gt;0,TRIM(G153&amp;"")&lt;&gt;"—"),"PASS","⚠ FAIL — "&amp;"a required cell is empty/placeholder or wrong type")</f>
        <v>PASS</v>
      </c>
      <c r="P153" s="0" t="s">
        <v>2991</v>
      </c>
      <c r="Q153" s="109" t="n">
        <v>30</v>
      </c>
      <c r="R153" s="109" t="n">
        <v>30</v>
      </c>
      <c r="S153" s="109" t="n">
        <v>1</v>
      </c>
      <c r="T153" s="0" t="n">
        <f aca="false">IF(ABS($Q$153*$S$153-$R$153)&lt;1,0,1)</f>
        <v>0</v>
      </c>
    </row>
    <row r="154" customFormat="false" ht="22.35" hidden="false" customHeight="false" outlineLevel="0" collapsed="false">
      <c r="A154" s="11" t="s">
        <v>2992</v>
      </c>
      <c r="B154" s="11" t="s">
        <v>2993</v>
      </c>
      <c r="C154" s="80" t="n">
        <v>1.35874844613195</v>
      </c>
      <c r="D154" s="11" t="s">
        <v>2994</v>
      </c>
      <c r="E154" s="15" t="s">
        <v>2915</v>
      </c>
      <c r="F154" s="11" t="s">
        <v>2995</v>
      </c>
      <c r="G154" s="14" t="s">
        <v>2917</v>
      </c>
      <c r="H154" s="16" t="str">
        <f aca="false">IF(AND(LEN(TRIM(A154&amp;""))&gt;0,TRIM(A154&amp;"")&lt;&gt;"—",LEN(TRIM(B154&amp;""))&gt;0,TRIM(B154&amp;"")&lt;&gt;"—",LEN(TRIM(C154&amp;""))&gt;0,TRIM(C154&amp;"")&lt;&gt;"—",LEN(TRIM(G154&amp;""))&gt;0,TRIM(G154&amp;"")&lt;&gt;"—"),"PASS","⚠ FAIL — "&amp;"a required cell is empty/placeholder or wrong type")</f>
        <v>PASS</v>
      </c>
      <c r="P154" s="0" t="s">
        <v>2996</v>
      </c>
      <c r="Q154" s="109" t="n">
        <v>72</v>
      </c>
      <c r="R154" s="109" t="n">
        <v>72</v>
      </c>
      <c r="S154" s="109" t="n">
        <v>1</v>
      </c>
      <c r="T154" s="0" t="n">
        <f aca="false">IF(ABS($Q$154*$S$154-$R$154)&lt;1,0,1)</f>
        <v>0</v>
      </c>
    </row>
    <row r="155" customFormat="false" ht="22.35" hidden="false" customHeight="false" outlineLevel="0" collapsed="false">
      <c r="A155" s="11" t="s">
        <v>2997</v>
      </c>
      <c r="B155" s="11" t="s">
        <v>2998</v>
      </c>
      <c r="C155" s="80" t="n">
        <v>46.19932646875</v>
      </c>
      <c r="D155" s="11" t="s">
        <v>2999</v>
      </c>
      <c r="E155" s="15" t="s">
        <v>2915</v>
      </c>
      <c r="F155" s="11" t="s">
        <v>3000</v>
      </c>
      <c r="G155" s="14" t="s">
        <v>2917</v>
      </c>
      <c r="H155" s="16" t="str">
        <f aca="false">IF(AND(LEN(TRIM(A155&amp;""))&gt;0,TRIM(A155&amp;"")&lt;&gt;"—",LEN(TRIM(B155&amp;""))&gt;0,TRIM(B155&amp;"")&lt;&gt;"—",LEN(TRIM(C155&amp;""))&gt;0,TRIM(C155&amp;"")&lt;&gt;"—",LEN(TRIM(G155&amp;""))&gt;0,TRIM(G155&amp;"")&lt;&gt;"—"),"PASS","⚠ FAIL — "&amp;"a required cell is empty/placeholder or wrong type")</f>
        <v>PASS</v>
      </c>
      <c r="P155" s="0" t="s">
        <v>3001</v>
      </c>
      <c r="Q155" s="109" t="n">
        <v>29</v>
      </c>
      <c r="R155" s="109" t="n">
        <v>29</v>
      </c>
      <c r="S155" s="109" t="n">
        <v>1</v>
      </c>
      <c r="T155" s="0" t="n">
        <f aca="false">IF(ABS($Q$155*$S$155-$R$155)&lt;1,0,1)</f>
        <v>0</v>
      </c>
    </row>
    <row r="156" customFormat="false" ht="22.35" hidden="false" customHeight="false" outlineLevel="0" collapsed="false">
      <c r="A156" s="11" t="s">
        <v>3002</v>
      </c>
      <c r="B156" s="11" t="s">
        <v>3003</v>
      </c>
      <c r="C156" s="80" t="n">
        <v>5</v>
      </c>
      <c r="D156" s="11" t="s">
        <v>27</v>
      </c>
      <c r="E156" s="15" t="s">
        <v>2915</v>
      </c>
      <c r="F156" s="11" t="s">
        <v>3004</v>
      </c>
      <c r="G156" s="14" t="s">
        <v>2917</v>
      </c>
      <c r="H156" s="16" t="str">
        <f aca="false">IF(AND(LEN(TRIM(A156&amp;""))&gt;0,TRIM(A156&amp;"")&lt;&gt;"—",LEN(TRIM(B156&amp;""))&gt;0,TRIM(B156&amp;"")&lt;&gt;"—",LEN(TRIM(C156&amp;""))&gt;0,TRIM(C156&amp;"")&lt;&gt;"—",LEN(TRIM(G156&amp;""))&gt;0,TRIM(G156&amp;"")&lt;&gt;"—"),"PASS","⚠ FAIL — "&amp;"a required cell is empty/placeholder or wrong type")</f>
        <v>PASS</v>
      </c>
      <c r="P156" s="0" t="s">
        <v>3005</v>
      </c>
      <c r="Q156" s="109" t="n">
        <v>90</v>
      </c>
      <c r="R156" s="109" t="n">
        <v>90</v>
      </c>
      <c r="S156" s="109" t="n">
        <v>1</v>
      </c>
      <c r="T156" s="0" t="n">
        <f aca="false">IF(ABS($Q$156*$S$156-$R$156)&lt;1,0,1)</f>
        <v>0</v>
      </c>
    </row>
    <row r="157" customFormat="false" ht="53.7" hidden="false" customHeight="false" outlineLevel="0" collapsed="false">
      <c r="A157" s="11" t="s">
        <v>3006</v>
      </c>
      <c r="B157" s="11" t="s">
        <v>3007</v>
      </c>
      <c r="C157" s="80" t="n">
        <v>9.653</v>
      </c>
      <c r="D157" s="11" t="s">
        <v>1588</v>
      </c>
      <c r="E157" s="15" t="s">
        <v>3008</v>
      </c>
      <c r="F157" s="11" t="s">
        <v>3009</v>
      </c>
      <c r="G157" s="14" t="s">
        <v>2917</v>
      </c>
      <c r="H157" s="16" t="str">
        <f aca="false">IF(AND(LEN(TRIM(A157&amp;""))&gt;0,TRIM(A157&amp;"")&lt;&gt;"—",LEN(TRIM(B157&amp;""))&gt;0,TRIM(B157&amp;"")&lt;&gt;"—",LEN(TRIM(C157&amp;""))&gt;0,TRIM(C157&amp;"")&lt;&gt;"—",LEN(TRIM(G157&amp;""))&gt;0,TRIM(G157&amp;"")&lt;&gt;"—"),"PASS","⚠ FAIL — "&amp;"a required cell is empty/placeholder or wrong type")</f>
        <v>PASS</v>
      </c>
      <c r="P157" s="0" t="s">
        <v>3010</v>
      </c>
      <c r="Q157" s="109" t="n">
        <v>87</v>
      </c>
      <c r="R157" s="109" t="n">
        <v>87</v>
      </c>
      <c r="S157" s="109" t="n">
        <v>1</v>
      </c>
      <c r="T157" s="0" t="n">
        <f aca="false">IF(ABS($Q$157*$S$157-$R$157)&lt;1,0,1)</f>
        <v>0</v>
      </c>
    </row>
    <row r="158" customFormat="false" ht="53.7" hidden="false" customHeight="false" outlineLevel="0" collapsed="false">
      <c r="A158" s="11" t="s">
        <v>3006</v>
      </c>
      <c r="B158" s="11" t="s">
        <v>3011</v>
      </c>
      <c r="C158" s="80" t="n">
        <v>90</v>
      </c>
      <c r="D158" s="11" t="s">
        <v>33</v>
      </c>
      <c r="E158" s="15" t="s">
        <v>3008</v>
      </c>
      <c r="F158" s="11" t="s">
        <v>3012</v>
      </c>
      <c r="G158" s="14" t="s">
        <v>2917</v>
      </c>
      <c r="H158" s="16" t="str">
        <f aca="false">IF(AND(LEN(TRIM(A158&amp;""))&gt;0,TRIM(A158&amp;"")&lt;&gt;"—",LEN(TRIM(B158&amp;""))&gt;0,TRIM(B158&amp;"")&lt;&gt;"—",LEN(TRIM(C158&amp;""))&gt;0,TRIM(C158&amp;"")&lt;&gt;"—",LEN(TRIM(G158&amp;""))&gt;0,TRIM(G158&amp;"")&lt;&gt;"—"),"PASS","⚠ FAIL — "&amp;"a required cell is empty/placeholder or wrong type")</f>
        <v>PASS</v>
      </c>
      <c r="P158" s="0" t="s">
        <v>3013</v>
      </c>
      <c r="Q158" s="109" t="n">
        <v>83</v>
      </c>
      <c r="R158" s="109" t="n">
        <v>83</v>
      </c>
      <c r="S158" s="109" t="n">
        <v>1</v>
      </c>
      <c r="T158" s="0" t="n">
        <f aca="false">IF(ABS($Q$158*$S$158-$R$158)&lt;1,0,1)</f>
        <v>0</v>
      </c>
    </row>
    <row r="159" customFormat="false" ht="64.15" hidden="false" customHeight="false" outlineLevel="0" collapsed="false">
      <c r="A159" s="11" t="s">
        <v>3014</v>
      </c>
      <c r="B159" s="11" t="s">
        <v>3015</v>
      </c>
      <c r="C159" s="80" t="n">
        <v>1500.8</v>
      </c>
      <c r="D159" s="11" t="s">
        <v>2999</v>
      </c>
      <c r="E159" s="15" t="s">
        <v>3016</v>
      </c>
      <c r="F159" s="11" t="s">
        <v>3017</v>
      </c>
      <c r="G159" s="14" t="s">
        <v>2917</v>
      </c>
      <c r="H159" s="16" t="str">
        <f aca="false">IF(AND(LEN(TRIM(A159&amp;""))&gt;0,TRIM(A159&amp;"")&lt;&gt;"—",LEN(TRIM(B159&amp;""))&gt;0,TRIM(B159&amp;"")&lt;&gt;"—",LEN(TRIM(C159&amp;""))&gt;0,TRIM(C159&amp;"")&lt;&gt;"—",LEN(TRIM(G159&amp;""))&gt;0,TRIM(G159&amp;"")&lt;&gt;"—"),"PASS","⚠ FAIL — "&amp;"a required cell is empty/placeholder or wrong type")</f>
        <v>PASS</v>
      </c>
      <c r="P159" s="0" t="s">
        <v>3018</v>
      </c>
      <c r="Q159" s="109" t="n">
        <v>106</v>
      </c>
      <c r="R159" s="109" t="n">
        <v>106</v>
      </c>
      <c r="S159" s="109" t="n">
        <v>1</v>
      </c>
      <c r="T159" s="0" t="n">
        <f aca="false">IF(ABS($Q$159*$S$159-$R$159)&lt;1,0,1)</f>
        <v>0</v>
      </c>
    </row>
    <row r="160" customFormat="false" ht="22.35" hidden="false" customHeight="false" outlineLevel="0" collapsed="false">
      <c r="A160" s="11" t="s">
        <v>3019</v>
      </c>
      <c r="B160" s="11" t="s">
        <v>3020</v>
      </c>
      <c r="C160" s="80" t="n">
        <v>3.46572421577573</v>
      </c>
      <c r="D160" s="11" t="s">
        <v>3021</v>
      </c>
      <c r="E160" s="15" t="s">
        <v>2915</v>
      </c>
      <c r="F160" s="11" t="s">
        <v>3022</v>
      </c>
      <c r="G160" s="14" t="s">
        <v>2917</v>
      </c>
      <c r="H160" s="16" t="str">
        <f aca="false">IF(AND(LEN(TRIM(A160&amp;""))&gt;0,TRIM(A160&amp;"")&lt;&gt;"—",LEN(TRIM(B160&amp;""))&gt;0,TRIM(B160&amp;"")&lt;&gt;"—",LEN(TRIM(C160&amp;""))&gt;0,TRIM(C160&amp;"")&lt;&gt;"—",LEN(TRIM(G160&amp;""))&gt;0,TRIM(G160&amp;"")&lt;&gt;"—"),"PASS","⚠ FAIL — "&amp;"a required cell is empty/placeholder or wrong type")</f>
        <v>PASS</v>
      </c>
      <c r="P160" s="0" t="s">
        <v>3023</v>
      </c>
      <c r="Q160" s="109" t="n">
        <v>94</v>
      </c>
      <c r="R160" s="109" t="n">
        <v>94</v>
      </c>
      <c r="S160" s="109" t="n">
        <v>1</v>
      </c>
      <c r="T160" s="0" t="n">
        <f aca="false">IF(ABS($Q$160*$S$160-$R$160)&lt;1,0,1)</f>
        <v>0</v>
      </c>
    </row>
    <row r="161" customFormat="false" ht="22.35" hidden="false" customHeight="false" outlineLevel="0" collapsed="false">
      <c r="A161" s="11" t="s">
        <v>3019</v>
      </c>
      <c r="B161" s="11" t="s">
        <v>3024</v>
      </c>
      <c r="C161" s="80" t="n">
        <v>23.0831984945154</v>
      </c>
      <c r="D161" s="11" t="s">
        <v>3025</v>
      </c>
      <c r="E161" s="15" t="s">
        <v>2915</v>
      </c>
      <c r="F161" s="11" t="s">
        <v>3026</v>
      </c>
      <c r="G161" s="14" t="s">
        <v>2917</v>
      </c>
      <c r="H161" s="16" t="str">
        <f aca="false">IF(AND(LEN(TRIM(A161&amp;""))&gt;0,TRIM(A161&amp;"")&lt;&gt;"—",LEN(TRIM(B161&amp;""))&gt;0,TRIM(B161&amp;"")&lt;&gt;"—",LEN(TRIM(C161&amp;""))&gt;0,TRIM(C161&amp;"")&lt;&gt;"—",LEN(TRIM(G161&amp;""))&gt;0,TRIM(G161&amp;"")&lt;&gt;"—"),"PASS","⚠ FAIL — "&amp;"a required cell is empty/placeholder or wrong type")</f>
        <v>PASS</v>
      </c>
      <c r="P161" s="0" t="s">
        <v>3027</v>
      </c>
      <c r="Q161" s="109" t="n">
        <v>76</v>
      </c>
      <c r="R161" s="109" t="n">
        <v>76</v>
      </c>
      <c r="S161" s="109" t="n">
        <v>1</v>
      </c>
      <c r="T161" s="0" t="n">
        <f aca="false">IF(ABS($Q$161*$S$161-$R$161)&lt;1,0,1)</f>
        <v>0</v>
      </c>
    </row>
    <row r="162" customFormat="false" ht="22.35" hidden="false" customHeight="false" outlineLevel="0" collapsed="false">
      <c r="A162" s="11" t="s">
        <v>3028</v>
      </c>
      <c r="B162" s="11" t="s">
        <v>3029</v>
      </c>
      <c r="C162" s="80" t="n">
        <v>640</v>
      </c>
      <c r="D162" s="11" t="s">
        <v>3030</v>
      </c>
      <c r="E162" s="15" t="s">
        <v>2915</v>
      </c>
      <c r="F162" s="11" t="s">
        <v>3031</v>
      </c>
      <c r="G162" s="14" t="s">
        <v>2917</v>
      </c>
      <c r="H162" s="16" t="str">
        <f aca="false">IF(AND(LEN(TRIM(A162&amp;""))&gt;0,TRIM(A162&amp;"")&lt;&gt;"—",LEN(TRIM(B162&amp;""))&gt;0,TRIM(B162&amp;"")&lt;&gt;"—",LEN(TRIM(C162&amp;""))&gt;0,TRIM(C162&amp;"")&lt;&gt;"—",LEN(TRIM(G162&amp;""))&gt;0,TRIM(G162&amp;"")&lt;&gt;"—"),"PASS","⚠ FAIL — "&amp;"a required cell is empty/placeholder or wrong type")</f>
        <v>PASS</v>
      </c>
      <c r="P162" s="0" t="s">
        <v>3032</v>
      </c>
      <c r="Q162" s="109" t="n">
        <v>96</v>
      </c>
      <c r="R162" s="109" t="n">
        <v>96</v>
      </c>
      <c r="S162" s="109" t="n">
        <v>1</v>
      </c>
      <c r="T162" s="0" t="n">
        <f aca="false">IF(ABS($Q$162*$S$162-$R$162)&lt;1,0,1)</f>
        <v>0</v>
      </c>
    </row>
    <row r="163" customFormat="false" ht="53.7" hidden="false" customHeight="false" outlineLevel="0" collapsed="false">
      <c r="A163" s="11" t="s">
        <v>3033</v>
      </c>
      <c r="B163" s="11" t="s">
        <v>3034</v>
      </c>
      <c r="C163" s="80" t="n">
        <v>600.811</v>
      </c>
      <c r="D163" s="11" t="s">
        <v>2999</v>
      </c>
      <c r="E163" s="15" t="s">
        <v>3035</v>
      </c>
      <c r="F163" s="11" t="s">
        <v>3036</v>
      </c>
      <c r="G163" s="14" t="s">
        <v>2917</v>
      </c>
      <c r="H163" s="16" t="str">
        <f aca="false">IF(AND(LEN(TRIM(A163&amp;""))&gt;0,TRIM(A163&amp;"")&lt;&gt;"—",LEN(TRIM(B163&amp;""))&gt;0,TRIM(B163&amp;"")&lt;&gt;"—",LEN(TRIM(C163&amp;""))&gt;0,TRIM(C163&amp;"")&lt;&gt;"—",LEN(TRIM(G163&amp;""))&gt;0,TRIM(G163&amp;"")&lt;&gt;"—"),"PASS","⚠ FAIL — "&amp;"a required cell is empty/placeholder or wrong type")</f>
        <v>PASS</v>
      </c>
      <c r="P163" s="0" t="s">
        <v>3037</v>
      </c>
      <c r="Q163" s="109" t="n">
        <v>109</v>
      </c>
      <c r="R163" s="109" t="n">
        <v>109</v>
      </c>
      <c r="S163" s="109" t="n">
        <v>1</v>
      </c>
      <c r="T163" s="0" t="n">
        <f aca="false">IF(ABS($Q$163*$S$163-$R$163)&lt;1,0,1)</f>
        <v>0</v>
      </c>
    </row>
    <row r="164" customFormat="false" ht="53.7" hidden="false" customHeight="false" outlineLevel="0" collapsed="false">
      <c r="A164" s="11" t="s">
        <v>3033</v>
      </c>
      <c r="B164" s="11" t="s">
        <v>3034</v>
      </c>
      <c r="C164" s="80" t="n">
        <v>556.127</v>
      </c>
      <c r="D164" s="11" t="s">
        <v>2999</v>
      </c>
      <c r="E164" s="15" t="s">
        <v>3035</v>
      </c>
      <c r="F164" s="11" t="s">
        <v>3038</v>
      </c>
      <c r="G164" s="14" t="s">
        <v>2917</v>
      </c>
      <c r="H164" s="16" t="str">
        <f aca="false">IF(AND(LEN(TRIM(A164&amp;""))&gt;0,TRIM(A164&amp;"")&lt;&gt;"—",LEN(TRIM(B164&amp;""))&gt;0,TRIM(B164&amp;"")&lt;&gt;"—",LEN(TRIM(C164&amp;""))&gt;0,TRIM(C164&amp;"")&lt;&gt;"—",LEN(TRIM(G164&amp;""))&gt;0,TRIM(G164&amp;"")&lt;&gt;"—"),"PASS","⚠ FAIL — "&amp;"a required cell is empty/placeholder or wrong type")</f>
        <v>PASS</v>
      </c>
      <c r="P164" s="0" t="s">
        <v>3039</v>
      </c>
      <c r="Q164" s="109" t="n">
        <v>113</v>
      </c>
      <c r="R164" s="109" t="n">
        <v>113</v>
      </c>
      <c r="S164" s="109" t="n">
        <v>1</v>
      </c>
      <c r="T164" s="0" t="n">
        <f aca="false">IF(ABS($Q$164*$S$164-$R$164)&lt;1,0,1)</f>
        <v>0</v>
      </c>
    </row>
    <row r="165" customFormat="false" ht="22.35" hidden="false" customHeight="false" outlineLevel="0" collapsed="false">
      <c r="A165" s="11" t="s">
        <v>3040</v>
      </c>
      <c r="B165" s="11" t="s">
        <v>3007</v>
      </c>
      <c r="C165" s="80" t="n">
        <v>7.5</v>
      </c>
      <c r="D165" s="11" t="s">
        <v>1588</v>
      </c>
      <c r="E165" s="15" t="s">
        <v>2915</v>
      </c>
      <c r="F165" s="11" t="s">
        <v>3041</v>
      </c>
      <c r="G165" s="14" t="s">
        <v>2917</v>
      </c>
      <c r="H165" s="16" t="str">
        <f aca="false">IF(AND(LEN(TRIM(A165&amp;""))&gt;0,TRIM(A165&amp;"")&lt;&gt;"—",LEN(TRIM(B165&amp;""))&gt;0,TRIM(B165&amp;"")&lt;&gt;"—",LEN(TRIM(C165&amp;""))&gt;0,TRIM(C165&amp;"")&lt;&gt;"—",LEN(TRIM(G165&amp;""))&gt;0,TRIM(G165&amp;"")&lt;&gt;"—"),"PASS","⚠ FAIL — "&amp;"a required cell is empty/placeholder or wrong type")</f>
        <v>PASS</v>
      </c>
      <c r="P165" s="0" t="s">
        <v>3042</v>
      </c>
      <c r="Q165" s="109" t="n">
        <v>44</v>
      </c>
      <c r="R165" s="109" t="n">
        <v>44</v>
      </c>
      <c r="S165" s="109" t="n">
        <v>1</v>
      </c>
      <c r="T165" s="0" t="n">
        <f aca="false">IF(ABS($Q$165*$S$165-$R$165)&lt;1,0,1)</f>
        <v>0</v>
      </c>
    </row>
    <row r="166" customFormat="false" ht="22.35" hidden="false" customHeight="false" outlineLevel="0" collapsed="false">
      <c r="A166" s="11" t="s">
        <v>3040</v>
      </c>
      <c r="B166" s="11" t="s">
        <v>3007</v>
      </c>
      <c r="C166" s="80" t="n">
        <v>1.923</v>
      </c>
      <c r="D166" s="11" t="s">
        <v>1588</v>
      </c>
      <c r="E166" s="15" t="s">
        <v>2915</v>
      </c>
      <c r="F166" s="11" t="s">
        <v>3043</v>
      </c>
      <c r="G166" s="14" t="s">
        <v>2917</v>
      </c>
      <c r="H166" s="16" t="str">
        <f aca="false">IF(AND(LEN(TRIM(A166&amp;""))&gt;0,TRIM(A166&amp;"")&lt;&gt;"—",LEN(TRIM(B166&amp;""))&gt;0,TRIM(B166&amp;"")&lt;&gt;"—",LEN(TRIM(C166&amp;""))&gt;0,TRIM(C166&amp;"")&lt;&gt;"—",LEN(TRIM(G166&amp;""))&gt;0,TRIM(G166&amp;"")&lt;&gt;"—"),"PASS","⚠ FAIL — "&amp;"a required cell is empty/placeholder or wrong type")</f>
        <v>PASS</v>
      </c>
      <c r="P166" s="0" t="s">
        <v>3044</v>
      </c>
      <c r="Q166" s="109" t="n">
        <v>35</v>
      </c>
      <c r="R166" s="109" t="n">
        <v>35</v>
      </c>
      <c r="S166" s="109" t="n">
        <v>1</v>
      </c>
      <c r="T166" s="0" t="n">
        <f aca="false">IF(ABS($Q$166*$S$166-$R$166)&lt;1,0,1)</f>
        <v>0</v>
      </c>
    </row>
    <row r="167" customFormat="false" ht="85.05" hidden="false" customHeight="false" outlineLevel="0" collapsed="false">
      <c r="A167" s="11" t="s">
        <v>3045</v>
      </c>
      <c r="B167" s="11" t="s">
        <v>3046</v>
      </c>
      <c r="C167" s="80" t="n">
        <v>40</v>
      </c>
      <c r="D167" s="11" t="s">
        <v>27</v>
      </c>
      <c r="E167" s="15" t="s">
        <v>3047</v>
      </c>
      <c r="F167" s="11" t="s">
        <v>3048</v>
      </c>
      <c r="G167" s="14" t="s">
        <v>2917</v>
      </c>
      <c r="H167" s="16" t="str">
        <f aca="false">IF(AND(LEN(TRIM(A167&amp;""))&gt;0,TRIM(A167&amp;"")&lt;&gt;"—",LEN(TRIM(B167&amp;""))&gt;0,TRIM(B167&amp;"")&lt;&gt;"—",LEN(TRIM(C167&amp;""))&gt;0,TRIM(C167&amp;"")&lt;&gt;"—",LEN(TRIM(G167&amp;""))&gt;0,TRIM(G167&amp;"")&lt;&gt;"—"),"PASS","⚠ FAIL — "&amp;"a required cell is empty/placeholder or wrong type")</f>
        <v>PASS</v>
      </c>
      <c r="P167" s="0" t="s">
        <v>3049</v>
      </c>
      <c r="Q167" s="109" t="n">
        <v>920</v>
      </c>
      <c r="R167" s="109" t="n">
        <v>920</v>
      </c>
      <c r="S167" s="109" t="n">
        <v>1</v>
      </c>
      <c r="T167" s="0" t="n">
        <f aca="false">IF(ABS($Q$167*$S$167-$R$167)&lt;4.6,0,1)</f>
        <v>0</v>
      </c>
    </row>
    <row r="168" customFormat="false" ht="85.05" hidden="false" customHeight="false" outlineLevel="0" collapsed="false">
      <c r="A168" s="11" t="s">
        <v>3045</v>
      </c>
      <c r="B168" s="11" t="s">
        <v>3050</v>
      </c>
      <c r="C168" s="80" t="n">
        <v>40</v>
      </c>
      <c r="D168" s="11" t="s">
        <v>27</v>
      </c>
      <c r="E168" s="15" t="s">
        <v>3047</v>
      </c>
      <c r="F168" s="11" t="s">
        <v>3051</v>
      </c>
      <c r="G168" s="14" t="s">
        <v>2917</v>
      </c>
      <c r="H168" s="16" t="str">
        <f aca="false">IF(AND(LEN(TRIM(A168&amp;""))&gt;0,TRIM(A168&amp;"")&lt;&gt;"—",LEN(TRIM(B168&amp;""))&gt;0,TRIM(B168&amp;"")&lt;&gt;"—",LEN(TRIM(C168&amp;""))&gt;0,TRIM(C168&amp;"")&lt;&gt;"—",LEN(TRIM(G168&amp;""))&gt;0,TRIM(G168&amp;"")&lt;&gt;"—"),"PASS","⚠ FAIL — "&amp;"a required cell is empty/placeholder or wrong type")</f>
        <v>PASS</v>
      </c>
      <c r="P168" s="0" t="s">
        <v>3052</v>
      </c>
      <c r="Q168" s="109" t="n">
        <v>3161</v>
      </c>
      <c r="R168" s="109" t="n">
        <v>3161</v>
      </c>
      <c r="S168" s="109" t="n">
        <v>1</v>
      </c>
      <c r="T168" s="0" t="n">
        <f aca="false">IF(ABS($Q$168*$S$168-$R$168)&lt;15.805,0,1)</f>
        <v>0</v>
      </c>
    </row>
    <row r="169" customFormat="false" ht="85.05" hidden="false" customHeight="false" outlineLevel="0" collapsed="false">
      <c r="A169" s="11" t="s">
        <v>3045</v>
      </c>
      <c r="B169" s="11" t="s">
        <v>3053</v>
      </c>
      <c r="C169" s="80" t="n">
        <v>261.6</v>
      </c>
      <c r="D169" s="11" t="s">
        <v>27</v>
      </c>
      <c r="E169" s="15" t="s">
        <v>3047</v>
      </c>
      <c r="F169" s="11" t="s">
        <v>3054</v>
      </c>
      <c r="G169" s="14" t="s">
        <v>2917</v>
      </c>
      <c r="H169" s="16" t="str">
        <f aca="false">IF(AND(LEN(TRIM(A169&amp;""))&gt;0,TRIM(A169&amp;"")&lt;&gt;"—",LEN(TRIM(B169&amp;""))&gt;0,TRIM(B169&amp;"")&lt;&gt;"—",LEN(TRIM(C169&amp;""))&gt;0,TRIM(C169&amp;"")&lt;&gt;"—",LEN(TRIM(G169&amp;""))&gt;0,TRIM(G169&amp;"")&lt;&gt;"—"),"PASS","⚠ FAIL — "&amp;"a required cell is empty/placeholder or wrong type")</f>
        <v>PASS</v>
      </c>
      <c r="P169" s="0" t="s">
        <v>3055</v>
      </c>
      <c r="Q169" s="109" t="n">
        <v>1594</v>
      </c>
      <c r="R169" s="109" t="n">
        <v>1594</v>
      </c>
      <c r="S169" s="109" t="n">
        <v>1</v>
      </c>
      <c r="T169" s="0" t="n">
        <f aca="false">IF(ABS($Q$169*$S$169-$R$169)&lt;7.97,0,1)</f>
        <v>0</v>
      </c>
    </row>
    <row r="170" customFormat="false" ht="22.35" hidden="false" customHeight="false" outlineLevel="0" collapsed="false">
      <c r="A170" s="11" t="s">
        <v>3056</v>
      </c>
      <c r="B170" s="11" t="s">
        <v>3057</v>
      </c>
      <c r="C170" s="80" t="n">
        <v>363.6</v>
      </c>
      <c r="D170" s="11" t="s">
        <v>3021</v>
      </c>
      <c r="E170" s="15" t="s">
        <v>2915</v>
      </c>
      <c r="F170" s="11" t="s">
        <v>3058</v>
      </c>
      <c r="G170" s="14" t="s">
        <v>2917</v>
      </c>
      <c r="H170" s="16" t="str">
        <f aca="false">IF(AND(LEN(TRIM(A170&amp;""))&gt;0,TRIM(A170&amp;"")&lt;&gt;"—",LEN(TRIM(B170&amp;""))&gt;0,TRIM(B170&amp;"")&lt;&gt;"—",LEN(TRIM(C170&amp;""))&gt;0,TRIM(C170&amp;"")&lt;&gt;"—",LEN(TRIM(G170&amp;""))&gt;0,TRIM(G170&amp;"")&lt;&gt;"—"),"PASS","⚠ FAIL — "&amp;"a required cell is empty/placeholder or wrong type")</f>
        <v>PASS</v>
      </c>
      <c r="P170" s="0" t="s">
        <v>3059</v>
      </c>
      <c r="Q170" s="109" t="n">
        <v>447</v>
      </c>
      <c r="R170" s="109" t="n">
        <v>447</v>
      </c>
      <c r="S170" s="109" t="n">
        <v>1</v>
      </c>
      <c r="T170" s="0" t="n">
        <f aca="false">IF(ABS($Q$170*$S$170-$R$170)&lt;2.235,0,1)</f>
        <v>0</v>
      </c>
    </row>
    <row r="171" customFormat="false" ht="22.35" hidden="false" customHeight="false" outlineLevel="0" collapsed="false">
      <c r="A171" s="11" t="s">
        <v>3056</v>
      </c>
      <c r="B171" s="11" t="s">
        <v>3060</v>
      </c>
      <c r="C171" s="80" t="n">
        <v>8</v>
      </c>
      <c r="D171" s="11" t="s">
        <v>33</v>
      </c>
      <c r="E171" s="15" t="s">
        <v>2915</v>
      </c>
      <c r="F171" s="11" t="s">
        <v>3061</v>
      </c>
      <c r="G171" s="14" t="s">
        <v>2917</v>
      </c>
      <c r="H171" s="16" t="str">
        <f aca="false">IF(AND(LEN(TRIM(A171&amp;""))&gt;0,TRIM(A171&amp;"")&lt;&gt;"—",LEN(TRIM(B171&amp;""))&gt;0,TRIM(B171&amp;"")&lt;&gt;"—",LEN(TRIM(C171&amp;""))&gt;0,TRIM(C171&amp;"")&lt;&gt;"—",LEN(TRIM(G171&amp;""))&gt;0,TRIM(G171&amp;"")&lt;&gt;"—"),"PASS","⚠ FAIL — "&amp;"a required cell is empty/placeholder or wrong type")</f>
        <v>PASS</v>
      </c>
      <c r="P171" s="0" t="s">
        <v>3062</v>
      </c>
      <c r="Q171" s="109" t="n">
        <v>1316</v>
      </c>
      <c r="R171" s="109" t="n">
        <v>1316</v>
      </c>
      <c r="S171" s="109" t="n">
        <v>1</v>
      </c>
      <c r="T171" s="0" t="n">
        <f aca="false">IF(ABS($Q$171*$S$171-$R$171)&lt;6.58,0,1)</f>
        <v>0</v>
      </c>
    </row>
    <row r="172" customFormat="false" ht="22.35" hidden="false" customHeight="false" outlineLevel="0" collapsed="false">
      <c r="A172" s="11" t="s">
        <v>3056</v>
      </c>
      <c r="B172" s="11" t="s">
        <v>3063</v>
      </c>
      <c r="C172" s="80" t="n">
        <v>115727</v>
      </c>
      <c r="D172" s="11" t="s">
        <v>167</v>
      </c>
      <c r="E172" s="15" t="s">
        <v>2915</v>
      </c>
      <c r="F172" s="11" t="s">
        <v>3064</v>
      </c>
      <c r="G172" s="14" t="s">
        <v>2917</v>
      </c>
      <c r="H172" s="16" t="str">
        <f aca="false">IF(AND(LEN(TRIM(A172&amp;""))&gt;0,TRIM(A172&amp;"")&lt;&gt;"—",LEN(TRIM(B172&amp;""))&gt;0,TRIM(B172&amp;"")&lt;&gt;"—",LEN(TRIM(C172&amp;""))&gt;0,TRIM(C172&amp;"")&lt;&gt;"—",LEN(TRIM(G172&amp;""))&gt;0,TRIM(G172&amp;"")&lt;&gt;"—"),"PASS","⚠ FAIL — "&amp;"a required cell is empty/placeholder or wrong type")</f>
        <v>PASS</v>
      </c>
      <c r="P172" s="0" t="s">
        <v>3065</v>
      </c>
      <c r="Q172" s="109" t="n">
        <v>1352</v>
      </c>
      <c r="R172" s="109" t="n">
        <v>1352</v>
      </c>
      <c r="S172" s="109" t="n">
        <v>1</v>
      </c>
      <c r="T172" s="0" t="n">
        <f aca="false">IF(ABS($Q$172*$S$172-$R$172)&lt;6.76,0,1)</f>
        <v>0</v>
      </c>
    </row>
    <row r="173" customFormat="false" ht="15" hidden="false" customHeight="false" outlineLevel="0" collapsed="false">
      <c r="P173" s="0" t="s">
        <v>3066</v>
      </c>
      <c r="Q173" s="109" t="n">
        <v>604</v>
      </c>
      <c r="R173" s="109" t="n">
        <v>604</v>
      </c>
      <c r="S173" s="109" t="n">
        <v>1</v>
      </c>
      <c r="T173" s="0" t="n">
        <f aca="false">IF(ABS($Q$173*$S$173-$R$173)&lt;3.02,0,1)</f>
        <v>0</v>
      </c>
    </row>
    <row r="174" customFormat="false" ht="15" hidden="false" customHeight="false" outlineLevel="0" collapsed="false">
      <c r="P174" s="0" t="s">
        <v>3067</v>
      </c>
      <c r="Q174" s="109" t="n">
        <v>23</v>
      </c>
      <c r="R174" s="109" t="n">
        <v>23</v>
      </c>
      <c r="S174" s="109" t="n">
        <v>1</v>
      </c>
      <c r="T174" s="0" t="n">
        <f aca="false">IF(ABS($Q$174*$S$174-$R$174)&lt;1,0,1)</f>
        <v>0</v>
      </c>
    </row>
    <row r="175" customFormat="false" ht="15" hidden="false" customHeight="false" outlineLevel="0" collapsed="false">
      <c r="P175" s="0" t="s">
        <v>3068</v>
      </c>
      <c r="Q175" s="109" t="n">
        <v>21</v>
      </c>
      <c r="R175" s="109" t="n">
        <v>21</v>
      </c>
      <c r="S175" s="109" t="n">
        <v>1</v>
      </c>
      <c r="T175" s="0" t="n">
        <f aca="false">IF(ABS($Q$175*$S$175-$R$175)&lt;1,0,1)</f>
        <v>0</v>
      </c>
    </row>
    <row r="176" customFormat="false" ht="15" hidden="false" customHeight="false" outlineLevel="0" collapsed="false">
      <c r="P176" s="0" t="s">
        <v>3069</v>
      </c>
      <c r="Q176" s="109" t="n">
        <v>23</v>
      </c>
      <c r="R176" s="109" t="n">
        <v>23</v>
      </c>
      <c r="S176" s="109" t="n">
        <v>1</v>
      </c>
      <c r="T176" s="0" t="n">
        <f aca="false">IF(ABS($Q$176*$S$176-$R$176)&lt;1,0,1)</f>
        <v>0</v>
      </c>
    </row>
    <row r="177" customFormat="false" ht="15" hidden="false" customHeight="false" outlineLevel="0" collapsed="false">
      <c r="P177" s="0" t="s">
        <v>3070</v>
      </c>
      <c r="Q177" s="109" t="n">
        <v>19</v>
      </c>
      <c r="R177" s="109" t="n">
        <v>19</v>
      </c>
      <c r="S177" s="109" t="n">
        <v>1</v>
      </c>
      <c r="T177" s="0" t="n">
        <f aca="false">IF(ABS($Q$177*$S$177-$R$177)&lt;1,0,1)</f>
        <v>0</v>
      </c>
    </row>
    <row r="178" customFormat="false" ht="15" hidden="false" customHeight="false" outlineLevel="0" collapsed="false">
      <c r="P178" s="0" t="s">
        <v>3071</v>
      </c>
      <c r="Q178" s="109" t="n">
        <v>22</v>
      </c>
      <c r="R178" s="109" t="n">
        <v>22</v>
      </c>
      <c r="S178" s="109" t="n">
        <v>1</v>
      </c>
      <c r="T178" s="0" t="n">
        <f aca="false">IF(ABS($Q$178*$S$178-$R$178)&lt;1,0,1)</f>
        <v>0</v>
      </c>
    </row>
    <row r="179" customFormat="false" ht="15" hidden="false" customHeight="false" outlineLevel="0" collapsed="false">
      <c r="P179" s="0" t="s">
        <v>3072</v>
      </c>
      <c r="Q179" s="109" t="n">
        <v>23</v>
      </c>
      <c r="R179" s="109" t="n">
        <v>23</v>
      </c>
      <c r="S179" s="109" t="n">
        <v>1</v>
      </c>
      <c r="T179" s="0" t="n">
        <f aca="false">IF(ABS($Q$179*$S$179-$R$179)&lt;1,0,1)</f>
        <v>0</v>
      </c>
    </row>
    <row r="180" customFormat="false" ht="15" hidden="false" customHeight="false" outlineLevel="0" collapsed="false">
      <c r="P180" s="0" t="s">
        <v>3073</v>
      </c>
      <c r="Q180" s="109" t="n">
        <v>93</v>
      </c>
      <c r="R180" s="109" t="n">
        <v>93</v>
      </c>
      <c r="S180" s="109" t="n">
        <v>1</v>
      </c>
      <c r="T180" s="0" t="n">
        <f aca="false">IF(ABS($Q$180*$S$180-$R$180)&lt;1,0,1)</f>
        <v>0</v>
      </c>
    </row>
    <row r="181" customFormat="false" ht="15" hidden="false" customHeight="false" outlineLevel="0" collapsed="false">
      <c r="P181" s="0" t="s">
        <v>3074</v>
      </c>
      <c r="Q181" s="109" t="n">
        <v>96</v>
      </c>
      <c r="R181" s="109" t="n">
        <v>96</v>
      </c>
      <c r="S181" s="109" t="n">
        <v>1</v>
      </c>
      <c r="T181" s="0" t="n">
        <f aca="false">IF(ABS($Q$181*$S$181-$R$181)&lt;1,0,1)</f>
        <v>0</v>
      </c>
    </row>
    <row r="182" customFormat="false" ht="15" hidden="false" customHeight="false" outlineLevel="0" collapsed="false">
      <c r="P182" s="0" t="s">
        <v>3075</v>
      </c>
      <c r="Q182" s="109" t="n">
        <v>96</v>
      </c>
      <c r="R182" s="109" t="n">
        <v>96</v>
      </c>
      <c r="S182" s="109" t="n">
        <v>1</v>
      </c>
      <c r="T182" s="0" t="n">
        <f aca="false">IF(ABS($Q$182*$S$182-$R$182)&lt;1,0,1)</f>
        <v>0</v>
      </c>
    </row>
    <row r="183" customFormat="false" ht="15" hidden="false" customHeight="false" outlineLevel="0" collapsed="false">
      <c r="P183" s="0" t="s">
        <v>3076</v>
      </c>
      <c r="Q183" s="109" t="n">
        <v>23</v>
      </c>
      <c r="R183" s="109" t="n">
        <v>23</v>
      </c>
      <c r="S183" s="109" t="n">
        <v>1</v>
      </c>
      <c r="T183" s="0" t="n">
        <f aca="false">IF(ABS($Q$183*$S$183-$R$183)&lt;1,0,1)</f>
        <v>0</v>
      </c>
    </row>
    <row r="184" customFormat="false" ht="15" hidden="false" customHeight="false" outlineLevel="0" collapsed="false">
      <c r="P184" s="0" t="s">
        <v>3077</v>
      </c>
      <c r="Q184" s="109" t="n">
        <v>20.8</v>
      </c>
      <c r="R184" s="109" t="n">
        <v>4451</v>
      </c>
      <c r="S184" s="109" t="n">
        <v>214</v>
      </c>
      <c r="T184" s="0" t="n">
        <f aca="false">IF(ABS($Q$184*$S$184-$R$184)&lt;22.255,0,1)</f>
        <v>0</v>
      </c>
    </row>
    <row r="185" customFormat="false" ht="15" hidden="false" customHeight="false" outlineLevel="0" collapsed="false">
      <c r="P185" s="0" t="s">
        <v>3078</v>
      </c>
      <c r="Q185" s="109" t="n">
        <v>20.8</v>
      </c>
      <c r="R185" s="109" t="n">
        <v>5824</v>
      </c>
      <c r="S185" s="109" t="n">
        <v>280</v>
      </c>
      <c r="T185" s="0" t="n">
        <f aca="false">IF(ABS($Q$185*$S$185-$R$185)&lt;29.12,0,1)</f>
        <v>0</v>
      </c>
    </row>
    <row r="186" customFormat="false" ht="15" hidden="false" customHeight="false" outlineLevel="0" collapsed="false">
      <c r="P186" s="0" t="s">
        <v>3079</v>
      </c>
      <c r="Q186" s="109" t="n">
        <v>13.2</v>
      </c>
      <c r="R186" s="109" t="n">
        <v>109296</v>
      </c>
      <c r="S186" s="109" t="n">
        <v>8280</v>
      </c>
      <c r="T186" s="0" t="n">
        <f aca="false">IF(ABS($Q$186*$S$186-$R$186)&lt;546.48,0,1)</f>
        <v>0</v>
      </c>
    </row>
    <row r="187" customFormat="false" ht="15" hidden="false" customHeight="false" outlineLevel="0" collapsed="false">
      <c r="P187" s="0" t="s">
        <v>3080</v>
      </c>
      <c r="Q187" s="109" t="n">
        <v>20.8</v>
      </c>
      <c r="R187" s="109" t="n">
        <v>87360</v>
      </c>
      <c r="S187" s="109" t="n">
        <v>4200</v>
      </c>
      <c r="T187" s="0" t="n">
        <f aca="false">IF(ABS($Q$187*$S$187-$R$187)&lt;436.8,0,1)</f>
        <v>0</v>
      </c>
    </row>
    <row r="188" customFormat="false" ht="15" hidden="false" customHeight="false" outlineLevel="0" collapsed="false">
      <c r="P188" s="0" t="s">
        <v>3081</v>
      </c>
      <c r="Q188" s="109" t="n">
        <v>20.8</v>
      </c>
      <c r="R188" s="109" t="n">
        <v>34445</v>
      </c>
      <c r="S188" s="109" t="n">
        <v>1656</v>
      </c>
      <c r="T188" s="0" t="n">
        <f aca="false">IF(ABS($Q$188*$S$188-$R$188)&lt;172.225,0,1)</f>
        <v>0</v>
      </c>
    </row>
    <row r="189" customFormat="false" ht="15" hidden="false" customHeight="false" outlineLevel="0" collapsed="false">
      <c r="P189" s="0" t="s">
        <v>3082</v>
      </c>
      <c r="Q189" s="109" t="n">
        <v>35.2</v>
      </c>
      <c r="R189" s="109" t="n">
        <v>7533</v>
      </c>
      <c r="S189" s="109" t="n">
        <v>214</v>
      </c>
      <c r="T189" s="0" t="n">
        <f aca="false">IF(ABS($Q$189*$S$189-$R$189)&lt;37.665,0,1)</f>
        <v>0</v>
      </c>
    </row>
    <row r="190" customFormat="false" ht="15" hidden="false" customHeight="false" outlineLevel="0" collapsed="false">
      <c r="P190" s="0" t="s">
        <v>3083</v>
      </c>
      <c r="Q190" s="109" t="n">
        <v>16.4</v>
      </c>
      <c r="R190" s="109" t="n">
        <v>7019</v>
      </c>
      <c r="S190" s="109" t="n">
        <v>428</v>
      </c>
      <c r="T190" s="0" t="n">
        <f aca="false">IF(ABS($Q$190*$S$190-$R$190)&lt;35.095,0,1)</f>
        <v>0</v>
      </c>
    </row>
    <row r="191" customFormat="false" ht="15" hidden="false" customHeight="false" outlineLevel="0" collapsed="false">
      <c r="P191" s="0" t="s">
        <v>3084</v>
      </c>
      <c r="Q191" s="109" t="n">
        <v>6</v>
      </c>
      <c r="R191" s="109" t="n">
        <v>36000</v>
      </c>
      <c r="S191" s="109" t="n">
        <v>6000</v>
      </c>
      <c r="T191" s="0" t="n">
        <f aca="false">IF(ABS($Q$191*$S$191-$R$191)&lt;180,0,1)</f>
        <v>0</v>
      </c>
    </row>
    <row r="192" customFormat="false" ht="15" hidden="false" customHeight="false" outlineLevel="0" collapsed="false">
      <c r="P192" s="0" t="s">
        <v>3085</v>
      </c>
      <c r="Q192" s="109" t="n">
        <v>9</v>
      </c>
      <c r="R192" s="109" t="n">
        <v>27000</v>
      </c>
      <c r="S192" s="109" t="n">
        <v>3000</v>
      </c>
      <c r="T192" s="0" t="n">
        <f aca="false">IF(ABS($Q$192*$S$192-$R$192)&lt;135,0,1)</f>
        <v>0</v>
      </c>
    </row>
    <row r="193" customFormat="false" ht="15" hidden="false" customHeight="false" outlineLevel="0" collapsed="false">
      <c r="P193" s="0" t="s">
        <v>3086</v>
      </c>
      <c r="Q193" s="109" t="n">
        <v>40</v>
      </c>
      <c r="R193" s="109" t="n">
        <v>8000</v>
      </c>
      <c r="S193" s="109" t="n">
        <v>200</v>
      </c>
      <c r="T193" s="0" t="n">
        <f aca="false">IF(ABS($Q$193*$S$193-$R$193)&lt;40,0,1)</f>
        <v>0</v>
      </c>
    </row>
    <row r="194" customFormat="false" ht="15" hidden="false" customHeight="false" outlineLevel="0" collapsed="false">
      <c r="P194" s="0" t="s">
        <v>3087</v>
      </c>
      <c r="Q194" s="109" t="n">
        <v>45</v>
      </c>
      <c r="R194" s="109" t="n">
        <v>1980</v>
      </c>
      <c r="S194" s="109" t="n">
        <v>44</v>
      </c>
      <c r="T194" s="0" t="n">
        <f aca="false">IF(ABS($Q$194*$S$194-$R$194)&lt;9.9,0,1)</f>
        <v>0</v>
      </c>
    </row>
    <row r="195" customFormat="false" ht="15" hidden="false" customHeight="false" outlineLevel="0" collapsed="false">
      <c r="P195" s="0" t="s">
        <v>3088</v>
      </c>
      <c r="Q195" s="109" t="n">
        <v>17540</v>
      </c>
      <c r="R195" s="109" t="n">
        <v>17540</v>
      </c>
      <c r="T195" s="0" t="n">
        <f aca="false">IF(ABS($Q$195-$R$195)&lt;175.4,0,1)</f>
        <v>0</v>
      </c>
    </row>
    <row r="196" customFormat="false" ht="15" hidden="false" customHeight="false" outlineLevel="0" collapsed="false">
      <c r="P196" s="0" t="s">
        <v>3089</v>
      </c>
      <c r="Q196" s="109" t="n">
        <v>16000</v>
      </c>
      <c r="R196" s="109" t="n">
        <v>16000</v>
      </c>
      <c r="T196" s="0" t="n">
        <f aca="false">IF(ABS($Q$196-$R$196)&lt;160,0,1)</f>
        <v>0</v>
      </c>
    </row>
    <row r="197" customFormat="false" ht="15" hidden="false" customHeight="false" outlineLevel="0" collapsed="false">
      <c r="P197" s="0" t="s">
        <v>3090</v>
      </c>
      <c r="Q197" s="109" t="n">
        <v>17268</v>
      </c>
      <c r="R197" s="109" t="n">
        <v>17268</v>
      </c>
      <c r="T197" s="0" t="n">
        <f aca="false">IF(ABS($Q$197-$R$197)&lt;172.68,0,1)</f>
        <v>0</v>
      </c>
    </row>
    <row r="198" customFormat="false" ht="15" hidden="false" customHeight="false" outlineLevel="0" collapsed="false">
      <c r="P198" s="0" t="s">
        <v>3091</v>
      </c>
      <c r="Q198" s="109" t="n">
        <v>22755</v>
      </c>
      <c r="R198" s="109" t="n">
        <v>22752</v>
      </c>
      <c r="T198" s="0" t="n">
        <f aca="false">IF(ABS($Q$198-$R$198)&lt;227.52,0,1)</f>
        <v>0</v>
      </c>
    </row>
    <row r="199" customFormat="false" ht="15" hidden="false" customHeight="false" outlineLevel="0" collapsed="false">
      <c r="P199" s="0" t="s">
        <v>3092</v>
      </c>
      <c r="Q199" s="109" t="n">
        <v>2500</v>
      </c>
      <c r="R199" s="109" t="n">
        <v>2500</v>
      </c>
      <c r="T199" s="0" t="n">
        <f aca="false">IF(ABS($Q$199-$R$199)&lt;25,0,1)</f>
        <v>0</v>
      </c>
    </row>
    <row r="200" customFormat="false" ht="15" hidden="false" customHeight="false" outlineLevel="0" collapsed="false">
      <c r="P200" s="0" t="s">
        <v>3093</v>
      </c>
      <c r="Q200" s="109" t="n">
        <v>9367</v>
      </c>
      <c r="R200" s="109" t="n">
        <v>9366</v>
      </c>
      <c r="T200" s="0" t="n">
        <f aca="false">IF(ABS($Q$200-$R$200)&lt;93.66,0,1)</f>
        <v>0</v>
      </c>
    </row>
    <row r="201" customFormat="false" ht="15" hidden="false" customHeight="false" outlineLevel="0" collapsed="false">
      <c r="P201" s="0" t="s">
        <v>3094</v>
      </c>
      <c r="Q201" s="109" t="n">
        <v>3700</v>
      </c>
      <c r="R201" s="109" t="n">
        <v>3700</v>
      </c>
      <c r="T201" s="0" t="n">
        <f aca="false">IF(ABS($Q$201-$R$201)&lt;37,0,1)</f>
        <v>0</v>
      </c>
    </row>
    <row r="202" customFormat="false" ht="15" hidden="false" customHeight="false" outlineLevel="0" collapsed="false">
      <c r="P202" s="0" t="s">
        <v>3095</v>
      </c>
      <c r="Q202" s="109" t="n">
        <v>16540</v>
      </c>
      <c r="R202" s="109" t="n">
        <v>16540</v>
      </c>
      <c r="T202" s="0" t="n">
        <f aca="false">IF(ABS($Q$202-$R$202)&lt;165.4,0,1)</f>
        <v>0</v>
      </c>
    </row>
    <row r="203" customFormat="false" ht="15" hidden="false" customHeight="false" outlineLevel="0" collapsed="false">
      <c r="P203" s="0" t="s">
        <v>3096</v>
      </c>
      <c r="Q203" s="109" t="n">
        <v>14825</v>
      </c>
      <c r="R203" s="109" t="n">
        <v>14825</v>
      </c>
      <c r="T203" s="0" t="n">
        <f aca="false">IF(ABS($Q$203-$R$203)&lt;148.25,0,1)</f>
        <v>0</v>
      </c>
    </row>
    <row r="204" customFormat="false" ht="15" hidden="false" customHeight="false" outlineLevel="0" collapsed="false">
      <c r="P204" s="0" t="s">
        <v>3097</v>
      </c>
      <c r="Q204" s="109" t="n">
        <v>9413</v>
      </c>
      <c r="R204" s="109" t="n">
        <v>9413</v>
      </c>
      <c r="T204" s="0" t="n">
        <f aca="false">IF(ABS($Q$204-$R$204)&lt;94.13,0,1)</f>
        <v>0</v>
      </c>
    </row>
    <row r="205" customFormat="false" ht="15" hidden="false" customHeight="false" outlineLevel="0" collapsed="false">
      <c r="P205" s="0" t="s">
        <v>3098</v>
      </c>
      <c r="Q205" s="109" t="n">
        <v>8737</v>
      </c>
      <c r="R205" s="109" t="n">
        <v>8737</v>
      </c>
      <c r="T205" s="0" t="n">
        <f aca="false">IF(ABS($Q$205-$R$205)&lt;87.37,0,1)</f>
        <v>0</v>
      </c>
    </row>
    <row r="206" customFormat="false" ht="15" hidden="false" customHeight="false" outlineLevel="0" collapsed="false">
      <c r="P206" s="0" t="s">
        <v>3099</v>
      </c>
      <c r="Q206" s="109" t="n">
        <v>3850</v>
      </c>
      <c r="R206" s="109" t="n">
        <v>3850</v>
      </c>
      <c r="T206" s="0" t="n">
        <f aca="false">IF(ABS($Q$206-$R$206)&lt;38.5,0,1)</f>
        <v>0</v>
      </c>
    </row>
    <row r="207" customFormat="false" ht="15" hidden="false" customHeight="false" outlineLevel="0" collapsed="false">
      <c r="P207" s="0" t="s">
        <v>3100</v>
      </c>
      <c r="Q207" s="109" t="n">
        <v>14825</v>
      </c>
      <c r="R207" s="109" t="n">
        <v>14825</v>
      </c>
      <c r="T207" s="0" t="n">
        <f aca="false">IF(ABS($Q$207-$R$207)&lt;148.25,0,1)</f>
        <v>0</v>
      </c>
    </row>
    <row r="208" customFormat="false" ht="15" hidden="false" customHeight="false" outlineLevel="0" collapsed="false">
      <c r="P208" s="0" t="s">
        <v>3101</v>
      </c>
      <c r="Q208" s="109" t="n">
        <v>13615</v>
      </c>
      <c r="R208" s="109" t="n">
        <v>13615</v>
      </c>
      <c r="T208" s="0" t="n">
        <f aca="false">IF(ABS($Q$208-$R$208)&lt;136.15,0,1)</f>
        <v>0</v>
      </c>
    </row>
    <row r="209" customFormat="false" ht="15" hidden="false" customHeight="false" outlineLevel="0" collapsed="false">
      <c r="P209" s="0" t="s">
        <v>3102</v>
      </c>
      <c r="Q209" s="109" t="n">
        <v>27231</v>
      </c>
      <c r="R209" s="109" t="n">
        <v>27230</v>
      </c>
      <c r="T209" s="0" t="n">
        <f aca="false">IF(ABS($Q$209-$R$209)&lt;272.3,0,1)</f>
        <v>0</v>
      </c>
    </row>
    <row r="210" customFormat="false" ht="15" hidden="false" customHeight="false" outlineLevel="0" collapsed="false">
      <c r="P210" s="0" t="s">
        <v>3103</v>
      </c>
      <c r="Q210" s="109" t="n">
        <v>4000</v>
      </c>
      <c r="R210" s="109" t="n">
        <v>4000</v>
      </c>
      <c r="T210" s="0" t="n">
        <f aca="false">IF(ABS($Q$210-$R$210)&lt;40,0,1)</f>
        <v>0</v>
      </c>
    </row>
    <row r="211" customFormat="false" ht="15" hidden="false" customHeight="false" outlineLevel="0" collapsed="false">
      <c r="P211" s="0" t="s">
        <v>3104</v>
      </c>
      <c r="Q211" s="109" t="n">
        <v>4000</v>
      </c>
      <c r="R211" s="109" t="n">
        <v>4000</v>
      </c>
      <c r="T211" s="0" t="n">
        <f aca="false">IF(ABS($Q$211-$R$211)&lt;40,0,1)</f>
        <v>0</v>
      </c>
    </row>
  </sheetData>
  <mergeCells count="11">
    <mergeCell ref="A1:G1"/>
    <mergeCell ref="A2:G2"/>
    <mergeCell ref="A3:G3"/>
    <mergeCell ref="A5:G5"/>
    <mergeCell ref="A14:G14"/>
    <mergeCell ref="A37:G37"/>
    <mergeCell ref="A64:G64"/>
    <mergeCell ref="A74:G74"/>
    <mergeCell ref="A81:G81"/>
    <mergeCell ref="A122:H122"/>
    <mergeCell ref="A133:H133"/>
  </mergeCells>
  <conditionalFormatting sqref="F5:F119">
    <cfRule type="cellIs" priority="2" operator="equal" aboveAverage="0" equalAverage="0" bottom="0" percent="0" rank="0" text="" dxfId="0">
      <formula>"FAIL"</formula>
    </cfRule>
    <cfRule type="cellIs" priority="3" operator="equal" aboveAverage="0" equalAverage="0" bottom="0" percent="0" rank="0" text="" dxfId="1">
      <formula>"PASS"</formula>
    </cfRule>
  </conditionalFormatting>
  <conditionalFormatting sqref="G125:G131">
    <cfRule type="cellIs" priority="4" operator="equal" aboveAverage="0" equalAverage="0" bottom="0" percent="0" rank="0" text="" dxfId="0">
      <formula>"FAIL"</formula>
    </cfRule>
    <cfRule type="cellIs" priority="5" operator="equal" aboveAverage="0" equalAverage="0" bottom="0" percent="0" rank="0" text="" dxfId="1">
      <formula>"PASS"</formula>
    </cfRule>
    <cfRule type="cellIs" priority="6" operator="equal" aboveAverage="0" equalAverage="0" bottom="0" percent="0" rank="0" text="" dxfId="0">
      <formula>"FAIL"</formula>
    </cfRule>
    <cfRule type="cellIs" priority="7" operator="equal" aboveAverage="0" equalAverage="0" bottom="0" percent="0" rank="0" text="" dxfId="1">
      <formula>"PASS"</formula>
    </cfRule>
  </conditionalFormatting>
  <hyperlinks>
    <hyperlink ref="H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7F7F"/>
    <pageSetUpPr fitToPage="false"/>
  </sheetPr>
  <dimension ref="A1:I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8"/>
    <col collapsed="false" customWidth="true" hidden="false" outlineLevel="0" max="2" min="2" style="0" width="12"/>
    <col collapsed="false" customWidth="true" hidden="false" outlineLevel="0" max="3" min="3" style="0" width="10"/>
    <col collapsed="false" customWidth="true" hidden="false" outlineLevel="0" max="5" min="4" style="0" width="46"/>
    <col collapsed="false" customWidth="true" hidden="false" outlineLevel="0" max="6" min="6" style="0" width="22"/>
    <col collapsed="false" customWidth="true" hidden="false" outlineLevel="0" max="7" min="7" style="0" width="13"/>
    <col collapsed="false" customWidth="true" hidden="false" outlineLevel="0" max="8" min="8" style="0" width="30"/>
  </cols>
  <sheetData>
    <row r="1" customFormat="false" ht="25.5" hidden="false" customHeight="true" outlineLevel="0" collapsed="false">
      <c r="A1" s="1" t="s">
        <v>3105</v>
      </c>
      <c r="B1" s="1"/>
      <c r="C1" s="1"/>
      <c r="D1" s="1"/>
      <c r="E1" s="1"/>
      <c r="F1" s="1"/>
      <c r="G1" s="24" t="s">
        <v>140</v>
      </c>
    </row>
    <row r="2" customFormat="false" ht="30" hidden="false" customHeight="true" outlineLevel="0" collapsed="false">
      <c r="A2" s="2" t="str">
        <f aca="false">"⬤ TAB QUALITY "&amp;IF(ISNUMBER('Quality &amp; Audit'!$B$34),IF('Quality &amp; Audit'!$B$34=INT('Quality &amp; Audit'!$B$34),TEXT('Quality &amp; Audit'!$B$34,"0"),TEXT('Quality &amp; Audit'!$B$34,"0.0")),"—")&amp;"/10 · "&amp;IF(ISNUMBER('Quality &amp; Audit'!$B$34),IF('Quality &amp; Audit'!$B$34&gt;=8,"PASS","FAIL"),"UNSCORED")&amp;" (target ≥8, live from the Quality &amp; Audit score cell)"&amp;" · resolved-endpoint fraction (every ← / → tag must exist) + per-row status — connection rows carry a computed OK status (0 unresolved endpoints, no missing-tie evidence) 4…"&amp;" · full audit: Quality &amp; Audit tab"</f>
        <v>⬤ TAB QUALITY 10/10 · PASS (target ≥8, live from the Quality &amp; Audit score cell) · resolved-endpoint fraction (every ← / → tag must exist) + per-row status — connection rows carry a computed OK status (0 unresolved endpoints, no missing-tie evidence) 4… · full audit: Quality &amp; Audit tab</v>
      </c>
      <c r="B2" s="2"/>
      <c r="C2" s="2"/>
      <c r="D2" s="2"/>
      <c r="E2" s="2"/>
      <c r="F2" s="2"/>
    </row>
    <row r="3" customFormat="false" ht="54" hidden="false" customHeight="true" outlineLevel="0" collapsed="false">
      <c r="A3" s="3" t="s">
        <v>3106</v>
      </c>
      <c r="B3" s="3"/>
      <c r="C3" s="3"/>
      <c r="D3" s="3"/>
      <c r="E3" s="3"/>
      <c r="F3" s="3"/>
    </row>
    <row r="4" customFormat="false" ht="15" hidden="false" customHeight="false" outlineLevel="0" collapsed="false">
      <c r="A4" s="8" t="s">
        <v>3107</v>
      </c>
      <c r="B4" s="8"/>
      <c r="C4" s="8"/>
      <c r="D4" s="8"/>
      <c r="E4" s="8"/>
      <c r="F4" s="8"/>
    </row>
    <row r="5" customFormat="false" ht="15" hidden="false" customHeight="false" outlineLevel="0" collapsed="false">
      <c r="A5" s="9" t="s">
        <v>3108</v>
      </c>
      <c r="B5" s="9" t="s">
        <v>406</v>
      </c>
      <c r="C5" s="9" t="s">
        <v>2227</v>
      </c>
      <c r="D5" s="9" t="s">
        <v>3109</v>
      </c>
      <c r="E5" s="9" t="s">
        <v>3110</v>
      </c>
      <c r="F5" s="9" t="s">
        <v>3111</v>
      </c>
      <c r="G5" s="84" t="s">
        <v>3112</v>
      </c>
      <c r="H5" s="84" t="s">
        <v>3113</v>
      </c>
      <c r="I5" s="10" t="s">
        <v>20</v>
      </c>
    </row>
    <row r="6" customFormat="false" ht="15" hidden="false" customHeight="false" outlineLevel="0" collapsed="false">
      <c r="A6" s="11" t="str">
        <f aca="false">'Part names'!$B$6</f>
        <v>3 Phase Power Input</v>
      </c>
      <c r="B6" s="11" t="str">
        <f aca="false">'Part names'!$A$6</f>
        <v>D-101</v>
      </c>
      <c r="C6" s="118" t="str">
        <f aca="false">IF(AND($G6=0,LEN(TRIM($H6&amp;""))=0),"✓ OK","✗ ISSUE — "&amp;TRIM(IF($G6&gt;0,$G6&amp;" unresolved endpoint(s)","")&amp;IF(AND($G6&gt;0,LEN(TRIM($H6&amp;""))&gt;0),"; ","")&amp;TRIM($H6&amp;"")))</f>
        <v>✓ OK</v>
      </c>
      <c r="D6" s="68" t="str">
        <f aca="false">A34</f>
        <v>Motor Control Center</v>
      </c>
      <c r="E6" s="68" t="s">
        <v>480</v>
      </c>
      <c r="F6" s="11" t="s">
        <v>3114</v>
      </c>
      <c r="G6" s="84" t="n">
        <v>0</v>
      </c>
      <c r="H6" s="70"/>
      <c r="I6" s="16" t="str">
        <f aca="false">IF(AND(LEN(TRIM(A6&amp;""))&gt;0,TRIM(A6&amp;"")&lt;&gt;"—",LEN(TRIM(C6&amp;""))&gt;0,TRIM(C6&amp;"")&lt;&gt;"—"),"PASS","⚠ FAIL — "&amp;"a required cell is empty/placeholder or wrong type")</f>
        <v>PASS</v>
      </c>
    </row>
    <row r="7" customFormat="false" ht="15" hidden="false" customHeight="false" outlineLevel="0" collapsed="false">
      <c r="A7" s="11" t="str">
        <f aca="false">'Part names'!$B$11</f>
        <v>Chlorine Sensor</v>
      </c>
      <c r="B7" s="11" t="str">
        <f aca="false">'Part names'!$A$11</f>
        <v>I-109</v>
      </c>
      <c r="C7" s="118" t="str">
        <f aca="false">IF(AND($G7=0,LEN(TRIM($H7&amp;""))=0),"✓ OK","✗ ISSUE — "&amp;TRIM(IF($G7&gt;0,$G7&amp;" unresolved endpoint(s)","")&amp;IF(AND($G7&gt;0,LEN(TRIM($H7&amp;""))&gt;0),"; ","")&amp;TRIM($H7&amp;"")))</f>
        <v>✓ OK</v>
      </c>
      <c r="D7" s="68" t="s">
        <v>480</v>
      </c>
      <c r="E7" s="68" t="str">
        <f aca="false">A45</f>
        <v>SCADA / Plant Control System</v>
      </c>
      <c r="F7" s="11" t="s">
        <v>3115</v>
      </c>
      <c r="G7" s="84" t="n">
        <v>0</v>
      </c>
      <c r="H7" s="70"/>
      <c r="I7" s="16" t="str">
        <f aca="false">IF(AND(LEN(TRIM(A7&amp;""))&gt;0,TRIM(A7&amp;"")&lt;&gt;"—",LEN(TRIM(C7&amp;""))&gt;0,TRIM(C7&amp;"")&lt;&gt;"—"),"PASS","⚠ FAIL — "&amp;"a required cell is empty/placeholder or wrong type")</f>
        <v>PASS</v>
      </c>
    </row>
    <row r="8" customFormat="false" ht="23.85" hidden="false" customHeight="false" outlineLevel="0" collapsed="false">
      <c r="A8" s="11" t="str">
        <f aca="false">'Part names'!$B$14&amp;" (TK-101)"</f>
        <v>Cip Tank (TK-101)</v>
      </c>
      <c r="B8" s="11" t="s">
        <v>3116</v>
      </c>
      <c r="C8" s="118" t="str">
        <f aca="false">IF(AND($G8=0,LEN(TRIM($H8&amp;""))=0),"✓ OK","✗ ISSUE — "&amp;TRIM(IF($G8&gt;0,$G8&amp;" unresolved endpoint(s)","")&amp;IF(AND($G8&gt;0,LEN(TRIM($H8&amp;""))&gt;0),"; ","")&amp;TRIM($H8&amp;"")))</f>
        <v>✓ OK</v>
      </c>
      <c r="D8" s="68" t="str">
        <f aca="false">A17&amp;", "&amp;A37&amp;", "&amp;A16</f>
        <v>Drain Transfer Pump, Permeate Outlet, Drain Collection Sump</v>
      </c>
      <c r="E8" s="68" t="str">
        <f aca="false">A9&amp;", "&amp;A16</f>
        <v>Cip Tank (TK-102), Drain Collection Sump</v>
      </c>
      <c r="F8" s="11" t="s">
        <v>3117</v>
      </c>
      <c r="G8" s="84" t="n">
        <v>0</v>
      </c>
      <c r="H8" s="70"/>
      <c r="I8" s="16" t="str">
        <f aca="false">IF(AND(LEN(TRIM(A8&amp;""))&gt;0,TRIM(A8&amp;"")&lt;&gt;"—",LEN(TRIM(C8&amp;""))&gt;0,TRIM(C8&amp;"")&lt;&gt;"—"),"PASS","⚠ FAIL — "&amp;"a required cell is empty/placeholder or wrong type")</f>
        <v>PASS</v>
      </c>
    </row>
    <row r="9" customFormat="false" ht="15" hidden="false" customHeight="false" outlineLevel="0" collapsed="false">
      <c r="A9" s="11" t="str">
        <f aca="false">'Part names'!$B$14&amp;" (TK-102)"</f>
        <v>Cip Tank (TK-102)</v>
      </c>
      <c r="B9" s="11" t="s">
        <v>3118</v>
      </c>
      <c r="C9" s="118" t="str">
        <f aca="false">IF(AND($G9=0,LEN(TRIM($H9&amp;""))=0),"✓ OK","✗ ISSUE — "&amp;TRIM(IF($G9&gt;0,$G9&amp;" unresolved endpoint(s)","")&amp;IF(AND($G9&gt;0,LEN(TRIM($H9&amp;""))&gt;0),"; ","")&amp;TRIM($H9&amp;"")))</f>
        <v>✓ OK</v>
      </c>
      <c r="D9" s="68" t="str">
        <f aca="false">A8&amp;", "&amp;A16</f>
        <v>Cip Tank (TK-101), Drain Collection Sump</v>
      </c>
      <c r="E9" s="68" t="str">
        <f aca="false">A24&amp;", "&amp;A16</f>
        <v>Fresh Water Tank, Drain Collection Sump</v>
      </c>
      <c r="F9" s="11" t="s">
        <v>3117</v>
      </c>
      <c r="G9" s="84" t="n">
        <v>0</v>
      </c>
      <c r="H9" s="70"/>
      <c r="I9" s="16" t="str">
        <f aca="false">IF(AND(LEN(TRIM(A9&amp;""))&gt;0,TRIM(A9&amp;"")&lt;&gt;"—",LEN(TRIM(C9&amp;""))&gt;0,TRIM(C9&amp;"")&lt;&gt;"—"),"PASS","⚠ FAIL — "&amp;"a required cell is empty/placeholder or wrong type")</f>
        <v>PASS</v>
      </c>
    </row>
    <row r="10" customFormat="false" ht="23.85" hidden="false" customHeight="false" outlineLevel="0" collapsed="false">
      <c r="A10" s="11" t="str">
        <f aca="false">'Part names'!$B$16</f>
        <v>Cloth Filter</v>
      </c>
      <c r="B10" s="11" t="str">
        <f aca="false">'Part names'!$A$16</f>
        <v>V-103</v>
      </c>
      <c r="C10" s="118" t="str">
        <f aca="false">IF(AND($G10=0,LEN(TRIM($H10&amp;""))=0),"✓ OK","✗ ISSUE — "&amp;TRIM(IF($G10&gt;0,$G10&amp;" unresolved endpoint(s)","")&amp;IF(AND($G10&gt;0,LEN(TRIM($H10&amp;""))&gt;0),"; ","")&amp;TRIM($H10&amp;"")))</f>
        <v>✓ OK</v>
      </c>
      <c r="D10" s="68" t="str">
        <f aca="false">A44&amp;", "&amp;A34&amp;", "&amp;A16</f>
        <v>Ro Membrane Elements, Motor Control Center, Drain Collection Sump</v>
      </c>
      <c r="E10" s="68" t="str">
        <f aca="false">A25&amp;", "&amp;A16</f>
        <v>Gac Filter, Drain Collection Sump</v>
      </c>
      <c r="F10" s="11" t="s">
        <v>3119</v>
      </c>
      <c r="G10" s="84" t="n">
        <v>0</v>
      </c>
      <c r="H10" s="70"/>
      <c r="I10" s="16" t="str">
        <f aca="false">IF(AND(LEN(TRIM(A10&amp;""))&gt;0,TRIM(A10&amp;"")&lt;&gt;"—",LEN(TRIM(C10&amp;""))&gt;0,TRIM(C10&amp;"")&lt;&gt;"—"),"PASS","⚠ FAIL — "&amp;"a required cell is empty/placeholder or wrong type")</f>
        <v>PASS</v>
      </c>
    </row>
    <row r="11" customFormat="false" ht="15" hidden="false" customHeight="false" outlineLevel="0" collapsed="false">
      <c r="A11" s="11" t="str">
        <f aca="false">'Part names'!$B$18</f>
        <v>Concentrate Outlet</v>
      </c>
      <c r="B11" s="11" t="str">
        <f aca="false">'Part names'!$A$18</f>
        <v>X-103</v>
      </c>
      <c r="C11" s="118" t="str">
        <f aca="false">IF(AND($G11=0,LEN(TRIM($H11&amp;""))=0),"✓ OK","✗ ISSUE — "&amp;TRIM(IF($G11&gt;0,$G11&amp;" unresolved endpoint(s)","")&amp;IF(AND($G11&gt;0,LEN(TRIM($H11&amp;""))&gt;0),"; ","")&amp;TRIM($H11&amp;"")))</f>
        <v>✓ OK</v>
      </c>
      <c r="D11" s="68" t="str">
        <f aca="false">A34</f>
        <v>Motor Control Center</v>
      </c>
      <c r="E11" s="68" t="s">
        <v>480</v>
      </c>
      <c r="F11" s="11" t="s">
        <v>3114</v>
      </c>
      <c r="G11" s="84" t="n">
        <v>0</v>
      </c>
      <c r="H11" s="70"/>
      <c r="I11" s="16" t="str">
        <f aca="false">IF(AND(LEN(TRIM(A11&amp;""))&gt;0,TRIM(A11&amp;"")&lt;&gt;"—",LEN(TRIM(C11&amp;""))&gt;0,TRIM(C11&amp;"")&lt;&gt;"—"),"PASS","⚠ FAIL — "&amp;"a required cell is empty/placeholder or wrong type")</f>
        <v>PASS</v>
      </c>
    </row>
    <row r="12" customFormat="false" ht="15" hidden="false" customHeight="false" outlineLevel="0" collapsed="false">
      <c r="A12" s="11" t="str">
        <f aca="false">'Part names'!$B$19</f>
        <v>Conductivity Sensor</v>
      </c>
      <c r="B12" s="11" t="str">
        <f aca="false">'Part names'!$A$19</f>
        <v>I-104</v>
      </c>
      <c r="C12" s="118" t="str">
        <f aca="false">IF(AND($G12=0,LEN(TRIM($H12&amp;""))=0),"✓ OK","✗ ISSUE — "&amp;TRIM(IF($G12&gt;0,$G12&amp;" unresolved endpoint(s)","")&amp;IF(AND($G12&gt;0,LEN(TRIM($H12&amp;""))&gt;0),"; ","")&amp;TRIM($H12&amp;"")))</f>
        <v>✓ OK</v>
      </c>
      <c r="D12" s="68" t="s">
        <v>480</v>
      </c>
      <c r="E12" s="68" t="str">
        <f aca="false">A45</f>
        <v>SCADA / Plant Control System</v>
      </c>
      <c r="F12" s="11" t="s">
        <v>3115</v>
      </c>
      <c r="G12" s="84" t="n">
        <v>0</v>
      </c>
      <c r="H12" s="70"/>
      <c r="I12" s="16" t="str">
        <f aca="false">IF(AND(LEN(TRIM(A12&amp;""))&gt;0,TRIM(A12&amp;"")&lt;&gt;"—",LEN(TRIM(C12&amp;""))&gt;0,TRIM(C12&amp;"")&lt;&gt;"—"),"PASS","⚠ FAIL — "&amp;"a required cell is empty/placeholder or wrong type")</f>
        <v>PASS</v>
      </c>
    </row>
    <row r="13" customFormat="false" ht="15" hidden="false" customHeight="false" outlineLevel="0" collapsed="false">
      <c r="A13" s="11" t="str">
        <f aca="false">'Part names'!$B$20</f>
        <v>Control + Instrument UPS</v>
      </c>
      <c r="B13" s="11" t="str">
        <f aca="false">'Part names'!$A$20</f>
        <v>U-201</v>
      </c>
      <c r="C13" s="118" t="str">
        <f aca="false">IF(AND($G13=0,LEN(TRIM($H13&amp;""))=0),"✓ OK","✗ ISSUE — "&amp;TRIM(IF($G13&gt;0,$G13&amp;" unresolved endpoint(s)","")&amp;IF(AND($G13&gt;0,LEN(TRIM($H13&amp;""))&gt;0),"; ","")&amp;TRIM($H13&amp;"")))</f>
        <v>✓ OK</v>
      </c>
      <c r="D13" s="68" t="str">
        <f aca="false">A34</f>
        <v>Motor Control Center</v>
      </c>
      <c r="E13" s="68" t="str">
        <f aca="false">A14</f>
        <v>Digital Control Panel</v>
      </c>
      <c r="F13" s="11" t="s">
        <v>3120</v>
      </c>
      <c r="G13" s="84" t="n">
        <v>0</v>
      </c>
      <c r="H13" s="70"/>
      <c r="I13" s="16" t="str">
        <f aca="false">IF(AND(LEN(TRIM(A13&amp;""))&gt;0,TRIM(A13&amp;"")&lt;&gt;"—",LEN(TRIM(C13&amp;""))&gt;0,TRIM(C13&amp;"")&lt;&gt;"—"),"PASS","⚠ FAIL — "&amp;"a required cell is empty/placeholder or wrong type")</f>
        <v>PASS</v>
      </c>
    </row>
    <row r="14" customFormat="false" ht="35.05" hidden="false" customHeight="false" outlineLevel="0" collapsed="false">
      <c r="A14" s="11" t="str">
        <f aca="false">'Part names'!$B$23</f>
        <v>Digital Control Panel</v>
      </c>
      <c r="B14" s="11" t="str">
        <f aca="false">'Part names'!$A$23</f>
        <v>I-103</v>
      </c>
      <c r="C14" s="118" t="str">
        <f aca="false">IF(AND($G14=0,LEN(TRIM($H14&amp;""))=0),"✓ OK","✗ ISSUE — "&amp;TRIM(IF($G14&gt;0,$G14&amp;" unresolved endpoint(s)","")&amp;IF(AND($G14&gt;0,LEN(TRIM($H14&amp;""))&gt;0),"; ","")&amp;TRIM($H14&amp;"")))</f>
        <v>✓ OK</v>
      </c>
      <c r="D14" s="68" t="str">
        <f aca="false">A21&amp;", "&amp;A13&amp;", "&amp;A34&amp;", "&amp;A40&amp;", "&amp;A20</f>
        <v>Electrical Control Panel, Control + Instrument UPS, Motor Control Center, Piping Network, Electrical Control Cabinet</v>
      </c>
      <c r="E14" s="68" t="s">
        <v>480</v>
      </c>
      <c r="F14" s="11" t="s">
        <v>3120</v>
      </c>
      <c r="G14" s="84" t="n">
        <v>0</v>
      </c>
      <c r="H14" s="70"/>
      <c r="I14" s="16" t="str">
        <f aca="false">IF(AND(LEN(TRIM(A14&amp;""))&gt;0,TRIM(A14&amp;"")&lt;&gt;"—",LEN(TRIM(C14&amp;""))&gt;0,TRIM(C14&amp;"")&lt;&gt;"—"),"PASS","⚠ FAIL — "&amp;"a required cell is empty/placeholder or wrong type")</f>
        <v>PASS</v>
      </c>
    </row>
    <row r="15" customFormat="false" ht="15" hidden="false" customHeight="false" outlineLevel="0" collapsed="false">
      <c r="A15" s="11" t="str">
        <f aca="false">'Part names'!$B$24</f>
        <v>Distribution Manifold</v>
      </c>
      <c r="B15" s="11" t="str">
        <f aca="false">'Part names'!$A$24</f>
        <v>M-101</v>
      </c>
      <c r="C15" s="118" t="str">
        <f aca="false">IF(AND($G15=0,LEN(TRIM($H15&amp;""))=0),"✓ OK","✗ ISSUE — "&amp;TRIM(IF($G15&gt;0,$G15&amp;" unresolved endpoint(s)","")&amp;IF(AND($G15&gt;0,LEN(TRIM($H15&amp;""))&gt;0),"; ","")&amp;TRIM($H15&amp;"")))</f>
        <v>✓ OK</v>
      </c>
      <c r="D15" s="68" t="str">
        <f aca="false">A29</f>
        <v>Irrigation Pump</v>
      </c>
      <c r="E15" s="68" t="str">
        <f aca="false">A16</f>
        <v>Drain Collection Sump</v>
      </c>
      <c r="F15" s="11" t="s">
        <v>3117</v>
      </c>
      <c r="G15" s="84" t="n">
        <v>0</v>
      </c>
      <c r="H15" s="70"/>
      <c r="I15" s="16" t="str">
        <f aca="false">IF(AND(LEN(TRIM(A15&amp;""))&gt;0,TRIM(A15&amp;"")&lt;&gt;"—",LEN(TRIM(C15&amp;""))&gt;0,TRIM(C15&amp;"")&lt;&gt;"—"),"PASS","⚠ FAIL — "&amp;"a required cell is empty/placeholder or wrong type")</f>
        <v>PASS</v>
      </c>
    </row>
    <row r="16" customFormat="false" ht="68.65" hidden="false" customHeight="false" outlineLevel="0" collapsed="false">
      <c r="A16" s="11" t="str">
        <f aca="false">'Part names'!$B$25</f>
        <v>Drain Collection Sump</v>
      </c>
      <c r="B16" s="11" t="str">
        <f aca="false">'Part names'!$A$25</f>
        <v>TK-114</v>
      </c>
      <c r="C16" s="118" t="str">
        <f aca="false">IF(AND($G16=0,LEN(TRIM($H16&amp;""))=0),"✓ OK","✗ ISSUE — "&amp;TRIM(IF($G16&gt;0,$G16&amp;" unresolved endpoint(s)","")&amp;IF(AND($G16&gt;0,LEN(TRIM($H16&amp;""))&gt;0),"; ","")&amp;TRIM($H16&amp;"")))</f>
        <v>✓ OK</v>
      </c>
      <c r="D16" s="68" t="str">
        <f aca="false">A53&amp;", "&amp;A24&amp;", "&amp;A47&amp;", "&amp;A22&amp;", "&amp;A35&amp;", "&amp;A28&amp;", "&amp;A10&amp;", "&amp;A26&amp;", "&amp;A29&amp;", "&amp;A15&amp;", "&amp;A42&amp;", "&amp;A43&amp;", "&amp;A25&amp;", "&amp;A51&amp;", "&amp;A9&amp;", "&amp;A8</f>
        <v>Uv Disinfection, Fresh Water Tank, Softener Vessel, Fertigation Dosing Pump, Nutrient Tank, Hand Watering Pump, Cloth Filter, Gac Softener, Irrigation Pump, Distribution Manifold, Reverse Osmosis Skid, Ro High Pressure Pump, Gac Filter, Uf Module Bank, Cip Tank (TK-102), Cip Tank (TK-101)</v>
      </c>
      <c r="E16" s="68" t="str">
        <f aca="false">A18&amp;", "&amp;A19&amp;", "&amp;A53&amp;", "&amp;A47&amp;", "&amp;A28&amp;", "&amp;A10&amp;", "&amp;A26&amp;", "&amp;A29&amp;", "&amp;A42&amp;", "&amp;A43&amp;", "&amp;A25&amp;", "&amp;A51&amp;", "&amp;A9&amp;", "&amp;A8</f>
        <v>Drain Water Tank, Effluent / disposal — battery limit, Uv Disinfection, Softener Vessel, Hand Watering Pump, Cloth Filter, Gac Softener, Irrigation Pump, Reverse Osmosis Skid, Ro High Pressure Pump, Gac Filter, Uf Module Bank, Cip Tank (TK-102), Cip Tank (TK-101)</v>
      </c>
      <c r="F16" s="11" t="s">
        <v>3117</v>
      </c>
      <c r="G16" s="84" t="n">
        <v>0</v>
      </c>
      <c r="H16" s="70"/>
      <c r="I16" s="16" t="str">
        <f aca="false">IF(AND(LEN(TRIM(A16&amp;""))&gt;0,TRIM(A16&amp;"")&lt;&gt;"—",LEN(TRIM(C16&amp;""))&gt;0,TRIM(C16&amp;"")&lt;&gt;"—"),"PASS","⚠ FAIL — "&amp;"a required cell is empty/placeholder or wrong type")</f>
        <v>PASS</v>
      </c>
    </row>
    <row r="17" customFormat="false" ht="23.85" hidden="false" customHeight="false" outlineLevel="0" collapsed="false">
      <c r="A17" s="11" t="str">
        <f aca="false">'Part names'!$B$26</f>
        <v>Drain Transfer Pump</v>
      </c>
      <c r="B17" s="11" t="str">
        <f aca="false">'Part names'!$A$26</f>
        <v>P-104</v>
      </c>
      <c r="C17" s="118" t="str">
        <f aca="false">IF(AND($G17=0,LEN(TRIM($H17&amp;""))=0),"✓ OK","✗ ISSUE — "&amp;TRIM(IF($G17&gt;0,$G17&amp;" unresolved endpoint(s)","")&amp;IF(AND($G17&gt;0,LEN(TRIM($H17&amp;""))&gt;0),"; ","")&amp;TRIM($H17&amp;"")))</f>
        <v>✓ OK</v>
      </c>
      <c r="D17" s="68" t="str">
        <f aca="false">A18&amp;", "&amp;A34&amp;", "&amp;A24</f>
        <v>Drain Water Tank, Motor Control Center, Fresh Water Tank</v>
      </c>
      <c r="E17" s="68" t="str">
        <f aca="false">A8&amp;", "&amp;A19</f>
        <v>Cip Tank (TK-101), Effluent / disposal — battery limit</v>
      </c>
      <c r="F17" s="11" t="s">
        <v>3119</v>
      </c>
      <c r="G17" s="84" t="n">
        <v>0</v>
      </c>
      <c r="H17" s="70"/>
      <c r="I17" s="16" t="str">
        <f aca="false">IF(AND(LEN(TRIM(A17&amp;""))&gt;0,TRIM(A17&amp;"")&lt;&gt;"—",LEN(TRIM(C17&amp;""))&gt;0,TRIM(C17&amp;"")&lt;&gt;"—"),"PASS","⚠ FAIL — "&amp;"a required cell is empty/placeholder or wrong type")</f>
        <v>PASS</v>
      </c>
    </row>
    <row r="18" customFormat="false" ht="23.85" hidden="false" customHeight="false" outlineLevel="0" collapsed="false">
      <c r="A18" s="11" t="str">
        <f aca="false">'Part names'!$B$27</f>
        <v>Drain Water Tank</v>
      </c>
      <c r="B18" s="11" t="str">
        <f aca="false">'Part names'!$A$27</f>
        <v>TK-106</v>
      </c>
      <c r="C18" s="118" t="str">
        <f aca="false">IF(AND($G18=0,LEN(TRIM($H18&amp;""))=0),"✓ OK","✗ ISSUE — "&amp;TRIM(IF($G18&gt;0,$G18&amp;" unresolved endpoint(s)","")&amp;IF(AND($G18&gt;0,LEN(TRIM($H18&amp;""))&gt;0),"; ","")&amp;TRIM($H18&amp;"")))</f>
        <v>✓ OK</v>
      </c>
      <c r="D18" s="68" t="str">
        <f aca="false">A16&amp;", "&amp;A24</f>
        <v>Drain Collection Sump, Fresh Water Tank</v>
      </c>
      <c r="E18" s="68" t="str">
        <f aca="false">A17&amp;", "&amp;A19</f>
        <v>Drain Transfer Pump, Effluent / disposal — battery limit</v>
      </c>
      <c r="F18" s="11" t="s">
        <v>3117</v>
      </c>
      <c r="G18" s="84" t="n">
        <v>0</v>
      </c>
      <c r="H18" s="70"/>
      <c r="I18" s="16" t="str">
        <f aca="false">IF(AND(LEN(TRIM(A18&amp;""))&gt;0,TRIM(A18&amp;"")&lt;&gt;"—",LEN(TRIM(C18&amp;""))&gt;0,TRIM(C18&amp;"")&lt;&gt;"—"),"PASS","⚠ FAIL — "&amp;"a required cell is empty/placeholder or wrong type")</f>
        <v>PASS</v>
      </c>
    </row>
    <row r="19" customFormat="false" ht="23.85" hidden="false" customHeight="false" outlineLevel="0" collapsed="false">
      <c r="A19" s="11" t="s">
        <v>3121</v>
      </c>
      <c r="B19" s="11"/>
      <c r="C19" s="118" t="str">
        <f aca="false">IF(AND($G19=0,LEN(TRIM($H19&amp;""))=0),"✓ OK","✗ ISSUE — "&amp;TRIM(IF($G19&gt;0,$G19&amp;" unresolved endpoint(s)","")&amp;IF(AND($G19&gt;0,LEN(TRIM($H19&amp;""))&gt;0),"; ","")&amp;TRIM($H19&amp;"")))</f>
        <v>✓ OK</v>
      </c>
      <c r="D19" s="68" t="str">
        <f aca="false">A16&amp;", "&amp;A17&amp;", "&amp;A18</f>
        <v>Drain Collection Sump, Drain Transfer Pump, Drain Water Tank</v>
      </c>
      <c r="E19" s="68" t="s">
        <v>480</v>
      </c>
      <c r="F19" s="11" t="s">
        <v>3117</v>
      </c>
      <c r="G19" s="84" t="n">
        <v>0</v>
      </c>
      <c r="H19" s="70"/>
      <c r="I19" s="16" t="str">
        <f aca="false">IF(AND(LEN(TRIM(A19&amp;""))&gt;0,TRIM(A19&amp;"")&lt;&gt;"—",LEN(TRIM(C19&amp;""))&gt;0,TRIM(C19&amp;"")&lt;&gt;"—"),"PASS","⚠ FAIL — "&amp;"a required cell is empty/placeholder or wrong type")</f>
        <v>PASS</v>
      </c>
    </row>
    <row r="20" customFormat="false" ht="15" hidden="false" customHeight="false" outlineLevel="0" collapsed="false">
      <c r="A20" s="11" t="str">
        <f aca="false">'Part names'!$B$28</f>
        <v>Electrical Control Cabinet</v>
      </c>
      <c r="B20" s="11" t="str">
        <f aca="false">'Part names'!$A$28</f>
        <v>I-102</v>
      </c>
      <c r="C20" s="118" t="str">
        <f aca="false">IF(AND($G20=0,LEN(TRIM($H20&amp;""))=0),"✓ OK","✗ ISSUE — "&amp;TRIM(IF($G20&gt;0,$G20&amp;" unresolved endpoint(s)","")&amp;IF(AND($G20&gt;0,LEN(TRIM($H20&amp;""))&gt;0),"; ","")&amp;TRIM($H20&amp;"")))</f>
        <v>✓ OK</v>
      </c>
      <c r="D20" s="68" t="str">
        <f aca="false">A34</f>
        <v>Motor Control Center</v>
      </c>
      <c r="E20" s="68" t="str">
        <f aca="false">A14</f>
        <v>Digital Control Panel</v>
      </c>
      <c r="F20" s="11" t="s">
        <v>3120</v>
      </c>
      <c r="G20" s="84" t="n">
        <v>0</v>
      </c>
      <c r="H20" s="70"/>
      <c r="I20" s="16" t="str">
        <f aca="false">IF(AND(LEN(TRIM(A20&amp;""))&gt;0,TRIM(A20&amp;"")&lt;&gt;"—",LEN(TRIM(C20&amp;""))&gt;0,TRIM(C20&amp;"")&lt;&gt;"—"),"PASS","⚠ FAIL — "&amp;"a required cell is empty/placeholder or wrong type")</f>
        <v>PASS</v>
      </c>
    </row>
    <row r="21" customFormat="false" ht="15" hidden="false" customHeight="false" outlineLevel="0" collapsed="false">
      <c r="A21" s="11" t="str">
        <f aca="false">'Part names'!$B$29</f>
        <v>Electrical Control Panel</v>
      </c>
      <c r="B21" s="11" t="str">
        <f aca="false">'Part names'!$A$29</f>
        <v>X-105</v>
      </c>
      <c r="C21" s="118" t="str">
        <f aca="false">IF(AND($G21=0,LEN(TRIM($H21&amp;""))=0),"✓ OK","✗ ISSUE — "&amp;TRIM(IF($G21&gt;0,$G21&amp;" unresolved endpoint(s)","")&amp;IF(AND($G21&gt;0,LEN(TRIM($H21&amp;""))&gt;0),"; ","")&amp;TRIM($H21&amp;"")))</f>
        <v>✓ OK</v>
      </c>
      <c r="D21" s="68" t="str">
        <f aca="false">A34</f>
        <v>Motor Control Center</v>
      </c>
      <c r="E21" s="68" t="str">
        <f aca="false">A14</f>
        <v>Digital Control Panel</v>
      </c>
      <c r="F21" s="11" t="s">
        <v>3120</v>
      </c>
      <c r="G21" s="84" t="n">
        <v>0</v>
      </c>
      <c r="H21" s="70"/>
      <c r="I21" s="16" t="str">
        <f aca="false">IF(AND(LEN(TRIM(A21&amp;""))&gt;0,TRIM(A21&amp;"")&lt;&gt;"—",LEN(TRIM(C21&amp;""))&gt;0,TRIM(C21&amp;"")&lt;&gt;"—"),"PASS","⚠ FAIL — "&amp;"a required cell is empty/placeholder or wrong type")</f>
        <v>PASS</v>
      </c>
    </row>
    <row r="22" customFormat="false" ht="15" hidden="false" customHeight="false" outlineLevel="0" collapsed="false">
      <c r="A22" s="11" t="str">
        <f aca="false">'Part names'!$B$32</f>
        <v>Fertigation Dosing Pump</v>
      </c>
      <c r="B22" s="11" t="str">
        <f aca="false">'Part names'!$A$32</f>
        <v>P-106</v>
      </c>
      <c r="C22" s="118" t="str">
        <f aca="false">IF(AND($G22=0,LEN(TRIM($H22&amp;""))=0),"✓ OK","✗ ISSUE — "&amp;TRIM(IF($G22&gt;0,$G22&amp;" unresolved endpoint(s)","")&amp;IF(AND($G22&gt;0,LEN(TRIM($H22&amp;""))&gt;0),"; ","")&amp;TRIM($H22&amp;"")))</f>
        <v>✓ OK</v>
      </c>
      <c r="D22" s="68" t="str">
        <f aca="false">A34</f>
        <v>Motor Control Center</v>
      </c>
      <c r="E22" s="68" t="str">
        <f aca="false">A28&amp;", "&amp;A16</f>
        <v>Hand Watering Pump, Drain Collection Sump</v>
      </c>
      <c r="F22" s="11" t="s">
        <v>3119</v>
      </c>
      <c r="G22" s="84" t="n">
        <v>0</v>
      </c>
      <c r="H22" s="70"/>
      <c r="I22" s="16" t="str">
        <f aca="false">IF(AND(LEN(TRIM(A22&amp;""))&gt;0,TRIM(A22&amp;"")&lt;&gt;"—",LEN(TRIM(C22&amp;""))&gt;0,TRIM(C22&amp;"")&lt;&gt;"—"),"PASS","⚠ FAIL — "&amp;"a required cell is empty/placeholder or wrong type")</f>
        <v>PASS</v>
      </c>
    </row>
    <row r="23" customFormat="false" ht="15" hidden="false" customHeight="false" outlineLevel="0" collapsed="false">
      <c r="A23" s="11" t="str">
        <f aca="false">'Part names'!$B$35&amp;" (I-105)"</f>
        <v>Flow Meter (I-105)</v>
      </c>
      <c r="B23" s="11" t="s">
        <v>3122</v>
      </c>
      <c r="C23" s="118" t="str">
        <f aca="false">IF(AND($G23=0,LEN(TRIM($H23&amp;""))=0),"✓ OK","✗ ISSUE — "&amp;TRIM(IF($G23&gt;0,$G23&amp;" unresolved endpoint(s)","")&amp;IF(AND($G23&gt;0,LEN(TRIM($H23&amp;""))&gt;0),"; ","")&amp;TRIM($H23&amp;"")))</f>
        <v>✓ OK</v>
      </c>
      <c r="D23" s="68" t="s">
        <v>480</v>
      </c>
      <c r="E23" s="68" t="str">
        <f aca="false">A45</f>
        <v>SCADA / Plant Control System</v>
      </c>
      <c r="F23" s="11" t="s">
        <v>3115</v>
      </c>
      <c r="G23" s="84" t="n">
        <v>0</v>
      </c>
      <c r="H23" s="70"/>
      <c r="I23" s="16" t="str">
        <f aca="false">IF(AND(LEN(TRIM(A23&amp;""))&gt;0,TRIM(A23&amp;"")&lt;&gt;"—",LEN(TRIM(C23&amp;""))&gt;0,TRIM(C23&amp;"")&lt;&gt;"—"),"PASS","⚠ FAIL — "&amp;"a required cell is empty/placeholder or wrong type")</f>
        <v>PASS</v>
      </c>
    </row>
    <row r="24" customFormat="false" ht="23.85" hidden="false" customHeight="false" outlineLevel="0" collapsed="false">
      <c r="A24" s="11" t="str">
        <f aca="false">'Part names'!$B$36</f>
        <v>Fresh Water Tank</v>
      </c>
      <c r="B24" s="11" t="str">
        <f aca="false">'Part names'!$A$36</f>
        <v>TK-108</v>
      </c>
      <c r="C24" s="118" t="str">
        <f aca="false">IF(AND($G24=0,LEN(TRIM($H24&amp;""))=0),"✓ OK","✗ ISSUE — "&amp;TRIM(IF($G24&gt;0,$G24&amp;" unresolved endpoint(s)","")&amp;IF(AND($G24&gt;0,LEN(TRIM($H24&amp;""))&gt;0),"; ","")&amp;TRIM($H24&amp;"")))</f>
        <v>✓ OK</v>
      </c>
      <c r="D24" s="68" t="str">
        <f aca="false">A9&amp;", "&amp;A52</f>
        <v>Cip Tank (TK-102), Ultrafiltration Module</v>
      </c>
      <c r="E24" s="68" t="str">
        <f aca="false">A35&amp;", "&amp;A37&amp;", "&amp;A16&amp;", "&amp;A17&amp;", "&amp;A18</f>
        <v>Nutrient Tank, Permeate Outlet, Drain Collection Sump, Drain Transfer Pump, Drain Water Tank</v>
      </c>
      <c r="F24" s="11" t="s">
        <v>3117</v>
      </c>
      <c r="G24" s="84" t="n">
        <v>0</v>
      </c>
      <c r="H24" s="70"/>
      <c r="I24" s="16" t="str">
        <f aca="false">IF(AND(LEN(TRIM(A24&amp;""))&gt;0,TRIM(A24&amp;"")&lt;&gt;"—",LEN(TRIM(C24&amp;""))&gt;0,TRIM(C24&amp;"")&lt;&gt;"—"),"PASS","⚠ FAIL — "&amp;"a required cell is empty/placeholder or wrong type")</f>
        <v>PASS</v>
      </c>
    </row>
    <row r="25" customFormat="false" ht="23.85" hidden="false" customHeight="false" outlineLevel="0" collapsed="false">
      <c r="A25" s="11" t="str">
        <f aca="false">'Part names'!$B$37</f>
        <v>Gac Filter</v>
      </c>
      <c r="B25" s="11" t="str">
        <f aca="false">'Part names'!$A$37</f>
        <v>V-101</v>
      </c>
      <c r="C25" s="118" t="str">
        <f aca="false">IF(AND($G25=0,LEN(TRIM($H25&amp;""))=0),"✓ OK","✗ ISSUE — "&amp;TRIM(IF($G25&gt;0,$G25&amp;" unresolved endpoint(s)","")&amp;IF(AND($G25&gt;0,LEN(TRIM($H25&amp;""))&gt;0),"; ","")&amp;TRIM($H25&amp;"")))</f>
        <v>✓ OK</v>
      </c>
      <c r="D25" s="68" t="str">
        <f aca="false">A10&amp;", "&amp;A34&amp;", "&amp;A16</f>
        <v>Cloth Filter, Motor Control Center, Drain Collection Sump</v>
      </c>
      <c r="E25" s="68" t="str">
        <f aca="false">A53&amp;", "&amp;A16</f>
        <v>Uv Disinfection, Drain Collection Sump</v>
      </c>
      <c r="F25" s="11" t="s">
        <v>3119</v>
      </c>
      <c r="G25" s="84" t="n">
        <v>0</v>
      </c>
      <c r="H25" s="70"/>
      <c r="I25" s="16" t="str">
        <f aca="false">IF(AND(LEN(TRIM(A25&amp;""))&gt;0,TRIM(A25&amp;"")&lt;&gt;"—",LEN(TRIM(C25&amp;""))&gt;0,TRIM(C25&amp;"")&lt;&gt;"—"),"PASS","⚠ FAIL — "&amp;"a required cell is empty/placeholder or wrong type")</f>
        <v>PASS</v>
      </c>
    </row>
    <row r="26" customFormat="false" ht="15" hidden="false" customHeight="false" outlineLevel="0" collapsed="false">
      <c r="A26" s="11" t="str">
        <f aca="false">'Part names'!$B$38</f>
        <v>Gac Softener</v>
      </c>
      <c r="B26" s="11" t="str">
        <f aca="false">'Part names'!$A$38</f>
        <v>V-105</v>
      </c>
      <c r="C26" s="118" t="str">
        <f aca="false">IF(AND($G26=0,LEN(TRIM($H26&amp;""))=0),"✓ OK","✗ ISSUE — "&amp;TRIM(IF($G26&gt;0,$G26&amp;" unresolved endpoint(s)","")&amp;IF(AND($G26&gt;0,LEN(TRIM($H26&amp;""))&gt;0),"; ","")&amp;TRIM($H26&amp;"")))</f>
        <v>✓ OK</v>
      </c>
      <c r="D26" s="68" t="str">
        <f aca="false">A16</f>
        <v>Drain Collection Sump</v>
      </c>
      <c r="E26" s="68" t="str">
        <f aca="false">A47&amp;", "&amp;A16</f>
        <v>Softener Vessel, Drain Collection Sump</v>
      </c>
      <c r="F26" s="11" t="s">
        <v>3117</v>
      </c>
      <c r="G26" s="84" t="n">
        <v>0</v>
      </c>
      <c r="H26" s="70"/>
      <c r="I26" s="16" t="str">
        <f aca="false">IF(AND(LEN(TRIM(A26&amp;""))&gt;0,TRIM(A26&amp;"")&lt;&gt;"—",LEN(TRIM(C26&amp;""))&gt;0,TRIM(C26&amp;"")&lt;&gt;"—"),"PASS","⚠ FAIL — "&amp;"a required cell is empty/placeholder or wrong type")</f>
        <v>PASS</v>
      </c>
    </row>
    <row r="27" customFormat="false" ht="15" hidden="false" customHeight="false" outlineLevel="0" collapsed="false">
      <c r="A27" s="11" t="str">
        <f aca="false">'Part names'!$B$39</f>
        <v>Grp Membrane Housings</v>
      </c>
      <c r="B27" s="11" t="str">
        <f aca="false">'Part names'!$A$39</f>
        <v>F-3</v>
      </c>
      <c r="C27" s="118" t="str">
        <f aca="false">IF(AND($G27=0,LEN(TRIM($H27&amp;""))=0),"✓ OK","✗ ISSUE — "&amp;TRIM(IF($G27&gt;0,$G27&amp;" unresolved endpoint(s)","")&amp;IF(AND($G27&gt;0,LEN(TRIM($H27&amp;""))&gt;0),"; ","")&amp;TRIM($H27&amp;"")))</f>
        <v>✓ OK</v>
      </c>
      <c r="D27" s="68" t="str">
        <f aca="false">A47</f>
        <v>Softener Vessel</v>
      </c>
      <c r="E27" s="68" t="str">
        <f aca="false">A51</f>
        <v>Uf Module Bank</v>
      </c>
      <c r="F27" s="11" t="s">
        <v>3117</v>
      </c>
      <c r="G27" s="84" t="n">
        <v>0</v>
      </c>
      <c r="H27" s="70"/>
      <c r="I27" s="16" t="str">
        <f aca="false">IF(AND(LEN(TRIM(A27&amp;""))&gt;0,TRIM(A27&amp;"")&lt;&gt;"—",LEN(TRIM(C27&amp;""))&gt;0,TRIM(C27&amp;"")&lt;&gt;"—"),"PASS","⚠ FAIL — "&amp;"a required cell is empty/placeholder or wrong type")</f>
        <v>PASS</v>
      </c>
    </row>
    <row r="28" customFormat="false" ht="23.85" hidden="false" customHeight="false" outlineLevel="0" collapsed="false">
      <c r="A28" s="11" t="str">
        <f aca="false">'Part names'!$B$40</f>
        <v>Hand Watering Pump</v>
      </c>
      <c r="B28" s="11" t="str">
        <f aca="false">'Part names'!$A$40</f>
        <v>P-102</v>
      </c>
      <c r="C28" s="118" t="str">
        <f aca="false">IF(AND($G28=0,LEN(TRIM($H28&amp;""))=0),"✓ OK","✗ ISSUE — "&amp;TRIM(IF($G28&gt;0,$G28&amp;" unresolved endpoint(s)","")&amp;IF(AND($G28&gt;0,LEN(TRIM($H28&amp;""))&gt;0),"; ","")&amp;TRIM($H28&amp;"")))</f>
        <v>✓ OK</v>
      </c>
      <c r="D28" s="68" t="str">
        <f aca="false">A22&amp;", "&amp;A34&amp;", "&amp;A16</f>
        <v>Fertigation Dosing Pump, Motor Control Center, Drain Collection Sump</v>
      </c>
      <c r="E28" s="68" t="str">
        <f aca="false">A29&amp;", "&amp;A16</f>
        <v>Irrigation Pump, Drain Collection Sump</v>
      </c>
      <c r="F28" s="11" t="s">
        <v>3119</v>
      </c>
      <c r="G28" s="84" t="n">
        <v>0</v>
      </c>
      <c r="H28" s="70"/>
      <c r="I28" s="16" t="str">
        <f aca="false">IF(AND(LEN(TRIM(A28&amp;""))&gt;0,TRIM(A28&amp;"")&lt;&gt;"—",LEN(TRIM(C28&amp;""))&gt;0,TRIM(C28&amp;"")&lt;&gt;"—"),"PASS","⚠ FAIL — "&amp;"a required cell is empty/placeholder or wrong type")</f>
        <v>PASS</v>
      </c>
    </row>
    <row r="29" customFormat="false" ht="23.85" hidden="false" customHeight="false" outlineLevel="0" collapsed="false">
      <c r="A29" s="11" t="str">
        <f aca="false">'Part names'!$B$47</f>
        <v>Irrigation Pump</v>
      </c>
      <c r="B29" s="11" t="str">
        <f aca="false">'Part names'!$A$47</f>
        <v>P-103</v>
      </c>
      <c r="C29" s="118" t="str">
        <f aca="false">IF(AND($G29=0,LEN(TRIM($H29&amp;""))=0),"✓ OK","✗ ISSUE — "&amp;TRIM(IF($G29&gt;0,$G29&amp;" unresolved endpoint(s)","")&amp;IF(AND($G29&gt;0,LEN(TRIM($H29&amp;""))&gt;0),"; ","")&amp;TRIM($H29&amp;"")))</f>
        <v>✓ OK</v>
      </c>
      <c r="D29" s="68" t="str">
        <f aca="false">A28&amp;", "&amp;A34&amp;", "&amp;A16</f>
        <v>Hand Watering Pump, Motor Control Center, Drain Collection Sump</v>
      </c>
      <c r="E29" s="68" t="str">
        <f aca="false">A15&amp;", "&amp;A16</f>
        <v>Distribution Manifold, Drain Collection Sump</v>
      </c>
      <c r="F29" s="11" t="s">
        <v>3119</v>
      </c>
      <c r="G29" s="84" t="n">
        <v>0</v>
      </c>
      <c r="H29" s="70"/>
      <c r="I29" s="16" t="str">
        <f aca="false">IF(AND(LEN(TRIM(A29&amp;""))&gt;0,TRIM(A29&amp;"")&lt;&gt;"—",LEN(TRIM(C29&amp;""))&gt;0,TRIM(C29&amp;"")&lt;&gt;"—"),"PASS","⚠ FAIL — "&amp;"a required cell is empty/placeholder or wrong type")</f>
        <v>PASS</v>
      </c>
    </row>
    <row r="30" customFormat="false" ht="15" hidden="false" customHeight="false" outlineLevel="0" collapsed="false">
      <c r="A30" s="11" t="str">
        <f aca="false">'Part names'!$B$49</f>
        <v>Leak Detection Sensor</v>
      </c>
      <c r="B30" s="11" t="str">
        <f aca="false">'Part names'!$A$49</f>
        <v>I-113</v>
      </c>
      <c r="C30" s="118" t="str">
        <f aca="false">IF(AND($G30=0,LEN(TRIM($H30&amp;""))=0),"✓ OK","✗ ISSUE — "&amp;TRIM(IF($G30&gt;0,$G30&amp;" unresolved endpoint(s)","")&amp;IF(AND($G30&gt;0,LEN(TRIM($H30&amp;""))&gt;0),"; ","")&amp;TRIM($H30&amp;"")))</f>
        <v>✓ OK</v>
      </c>
      <c r="D30" s="68" t="s">
        <v>480</v>
      </c>
      <c r="E30" s="68" t="str">
        <f aca="false">A45</f>
        <v>SCADA / Plant Control System</v>
      </c>
      <c r="F30" s="11" t="s">
        <v>3115</v>
      </c>
      <c r="G30" s="84" t="n">
        <v>0</v>
      </c>
      <c r="H30" s="70"/>
      <c r="I30" s="16" t="str">
        <f aca="false">IF(AND(LEN(TRIM(A30&amp;""))&gt;0,TRIM(A30&amp;"")&lt;&gt;"—",LEN(TRIM(C30&amp;""))&gt;0,TRIM(C30&amp;"")&lt;&gt;"—"),"PASS","⚠ FAIL — "&amp;"a required cell is empty/placeholder or wrong type")</f>
        <v>PASS</v>
      </c>
    </row>
    <row r="31" customFormat="false" ht="15" hidden="false" customHeight="false" outlineLevel="0" collapsed="false">
      <c r="A31" s="11" t="str">
        <f aca="false">'Part names'!$B$50</f>
        <v>Level Transmitter</v>
      </c>
      <c r="B31" s="11" t="str">
        <f aca="false">'Part names'!$A$50</f>
        <v>LT-201–213</v>
      </c>
      <c r="C31" s="118" t="str">
        <f aca="false">IF(AND($G31=0,LEN(TRIM($H31&amp;""))=0),"✓ OK","✗ ISSUE — "&amp;TRIM(IF($G31&gt;0,$G31&amp;" unresolved endpoint(s)","")&amp;IF(AND($G31&gt;0,LEN(TRIM($H31&amp;""))&gt;0),"; ","")&amp;TRIM($H31&amp;"")))</f>
        <v>✓ OK</v>
      </c>
      <c r="D31" s="68" t="s">
        <v>480</v>
      </c>
      <c r="E31" s="68" t="str">
        <f aca="false">A45</f>
        <v>SCADA / Plant Control System</v>
      </c>
      <c r="F31" s="11" t="s">
        <v>3115</v>
      </c>
      <c r="G31" s="84" t="n">
        <v>0</v>
      </c>
      <c r="H31" s="70"/>
      <c r="I31" s="16" t="str">
        <f aca="false">IF(AND(LEN(TRIM(A31&amp;""))&gt;0,TRIM(A31&amp;"")&lt;&gt;"—",LEN(TRIM(C31&amp;""))&gt;0,TRIM(C31&amp;"")&lt;&gt;"—"),"PASS","⚠ FAIL — "&amp;"a required cell is empty/placeholder or wrong type")</f>
        <v>PASS</v>
      </c>
    </row>
    <row r="32" customFormat="false" ht="15" hidden="false" customHeight="false" outlineLevel="0" collapsed="false">
      <c r="A32" s="11" t="str">
        <f aca="false">'Part names'!$B$53</f>
        <v>Main Switchboard</v>
      </c>
      <c r="B32" s="11" t="str">
        <f aca="false">'Part names'!$A$53</f>
        <v>EP-101</v>
      </c>
      <c r="C32" s="118" t="str">
        <f aca="false">IF(AND($G32=0,LEN(TRIM($H32&amp;""))=0),"✓ OK","✗ ISSUE — "&amp;TRIM(IF($G32&gt;0,$G32&amp;" unresolved endpoint(s)","")&amp;IF(AND($G32&gt;0,LEN(TRIM($H32&amp;""))&gt;0),"; ","")&amp;TRIM($H32&amp;"")))</f>
        <v>✓ OK</v>
      </c>
      <c r="D32" s="68" t="str">
        <f aca="false">A50</f>
        <v>Transformer</v>
      </c>
      <c r="E32" s="68" t="str">
        <f aca="false">A34</f>
        <v>Motor Control Center</v>
      </c>
      <c r="F32" s="11" t="s">
        <v>3114</v>
      </c>
      <c r="G32" s="84" t="n">
        <v>0</v>
      </c>
      <c r="H32" s="70"/>
      <c r="I32" s="16" t="str">
        <f aca="false">IF(AND(LEN(TRIM(A32&amp;""))&gt;0,TRIM(A32&amp;"")&lt;&gt;"—",LEN(TRIM(C32&amp;""))&gt;0,TRIM(C32&amp;"")&lt;&gt;"—"),"PASS","⚠ FAIL — "&amp;"a required cell is empty/placeholder or wrong type")</f>
        <v>PASS</v>
      </c>
    </row>
    <row r="33" customFormat="false" ht="15" hidden="false" customHeight="false" outlineLevel="0" collapsed="false">
      <c r="A33" s="11" t="str">
        <f aca="false">'Part names'!$B$54</f>
        <v>Mains Incomer</v>
      </c>
      <c r="B33" s="11" t="str">
        <f aca="false">'Part names'!$A$54</f>
        <v>EP-102</v>
      </c>
      <c r="C33" s="118" t="str">
        <f aca="false">IF(AND($G33=0,LEN(TRIM($H33&amp;""))=0),"✓ OK","✗ ISSUE — "&amp;TRIM(IF($G33&gt;0,$G33&amp;" unresolved endpoint(s)","")&amp;IF(AND($G33&gt;0,LEN(TRIM($H33&amp;""))&gt;0),"; ","")&amp;TRIM($H33&amp;"")))</f>
        <v>✓ OK</v>
      </c>
      <c r="D33" s="68" t="s">
        <v>480</v>
      </c>
      <c r="E33" s="68" t="str">
        <f aca="false">A48</f>
        <v>Standby Diesel Generator</v>
      </c>
      <c r="F33" s="11" t="s">
        <v>3114</v>
      </c>
      <c r="G33" s="84" t="n">
        <v>0</v>
      </c>
      <c r="H33" s="70"/>
      <c r="I33" s="16" t="str">
        <f aca="false">IF(AND(LEN(TRIM(A33&amp;""))&gt;0,TRIM(A33&amp;"")&lt;&gt;"—",LEN(TRIM(C33&amp;""))&gt;0,TRIM(C33&amp;"")&lt;&gt;"—"),"PASS","⚠ FAIL — "&amp;"a required cell is empty/placeholder or wrong type")</f>
        <v>PASS</v>
      </c>
    </row>
    <row r="34" customFormat="false" ht="91" hidden="false" customHeight="false" outlineLevel="0" collapsed="false">
      <c r="A34" s="11" t="str">
        <f aca="false">'Part names'!$B$61</f>
        <v>Motor Control Center</v>
      </c>
      <c r="B34" s="11" t="str">
        <f aca="false">'Part names'!$A$61</f>
        <v>EP-104</v>
      </c>
      <c r="C34" s="118" t="str">
        <f aca="false">IF(AND($G34=0,LEN(TRIM($H34&amp;""))=0),"✓ OK","✗ ISSUE — "&amp;TRIM(IF($G34&gt;0,$G34&amp;" unresolved endpoint(s)","")&amp;IF(AND($G34&gt;0,LEN(TRIM($H34&amp;""))&gt;0),"; ","")&amp;TRIM($H34&amp;"")))</f>
        <v>✓ OK</v>
      </c>
      <c r="D34" s="68" t="str">
        <f aca="false">A32</f>
        <v>Main Switchboard</v>
      </c>
      <c r="E34" s="68" t="str">
        <f aca="false">A21&amp;", "&amp;A6&amp;", "&amp;A13&amp;", "&amp;A45&amp;", "&amp;A14&amp;", "&amp;A40&amp;", "&amp;A53&amp;", "&amp;A22&amp;", "&amp;A28&amp;", "&amp;A17&amp;", "&amp;A10&amp;", "&amp;A29&amp;", "&amp;A43&amp;", "&amp;A25&amp;", "&amp;A37&amp;", "&amp;A11&amp;", "&amp;A20</f>
        <v>Electrical Control Panel, 3 Phase Power Input, Control + Instrument UPS, SCADA / Plant Control System, Digital Control Panel, Piping Network, Uv Disinfection, Fertigation Dosing Pump, Hand Watering Pump, Drain Transfer Pump, Cloth Filter, Irrigation Pump, Ro High Pressure Pump, Gac Filter, Permeate Outlet, Concentrate Outlet, Electrical Control Cabinet</v>
      </c>
      <c r="F34" s="11" t="s">
        <v>3120</v>
      </c>
      <c r="G34" s="84" t="n">
        <v>0</v>
      </c>
      <c r="H34" s="70"/>
      <c r="I34" s="16" t="str">
        <f aca="false">IF(AND(LEN(TRIM(A34&amp;""))&gt;0,TRIM(A34&amp;"")&lt;&gt;"—",LEN(TRIM(C34&amp;""))&gt;0,TRIM(C34&amp;"")&lt;&gt;"—"),"PASS","⚠ FAIL — "&amp;"a required cell is empty/placeholder or wrong type")</f>
        <v>PASS</v>
      </c>
    </row>
    <row r="35" customFormat="false" ht="15" hidden="false" customHeight="false" outlineLevel="0" collapsed="false">
      <c r="A35" s="11" t="str">
        <f aca="false">'Part names'!$B$64</f>
        <v>Nutrient Tank</v>
      </c>
      <c r="B35" s="11" t="str">
        <f aca="false">'Part names'!$A$64</f>
        <v>TK-103</v>
      </c>
      <c r="C35" s="118" t="str">
        <f aca="false">IF(AND($G35=0,LEN(TRIM($H35&amp;""))=0),"✓ OK","✗ ISSUE — "&amp;TRIM(IF($G35&gt;0,$G35&amp;" unresolved endpoint(s)","")&amp;IF(AND($G35&gt;0,LEN(TRIM($H35&amp;""))&gt;0),"; ","")&amp;TRIM($H35&amp;"")))</f>
        <v>✓ OK</v>
      </c>
      <c r="D35" s="68" t="str">
        <f aca="false">A24</f>
        <v>Fresh Water Tank</v>
      </c>
      <c r="E35" s="68" t="str">
        <f aca="false">A16</f>
        <v>Drain Collection Sump</v>
      </c>
      <c r="F35" s="11" t="s">
        <v>3117</v>
      </c>
      <c r="G35" s="84" t="n">
        <v>0</v>
      </c>
      <c r="H35" s="70"/>
      <c r="I35" s="16" t="str">
        <f aca="false">IF(AND(LEN(TRIM(A35&amp;""))&gt;0,TRIM(A35&amp;"")&lt;&gt;"—",LEN(TRIM(C35&amp;""))&gt;0,TRIM(C35&amp;"")&lt;&gt;"—"),"PASS","⚠ FAIL — "&amp;"a required cell is empty/placeholder or wrong type")</f>
        <v>PASS</v>
      </c>
    </row>
    <row r="36" customFormat="false" ht="15" hidden="false" customHeight="false" outlineLevel="0" collapsed="false">
      <c r="A36" s="11" t="str">
        <f aca="false">'Part names'!$B$65</f>
        <v>Orp Sensor</v>
      </c>
      <c r="B36" s="11" t="str">
        <f aca="false">'Part names'!$A$65</f>
        <v>I-107</v>
      </c>
      <c r="C36" s="118" t="str">
        <f aca="false">IF(AND($G36=0,LEN(TRIM($H36&amp;""))=0),"✓ OK","✗ ISSUE — "&amp;TRIM(IF($G36&gt;0,$G36&amp;" unresolved endpoint(s)","")&amp;IF(AND($G36&gt;0,LEN(TRIM($H36&amp;""))&gt;0),"; ","")&amp;TRIM($H36&amp;"")))</f>
        <v>✓ OK</v>
      </c>
      <c r="D36" s="68" t="s">
        <v>480</v>
      </c>
      <c r="E36" s="68" t="str">
        <f aca="false">A45</f>
        <v>SCADA / Plant Control System</v>
      </c>
      <c r="F36" s="11" t="s">
        <v>3115</v>
      </c>
      <c r="G36" s="84" t="n">
        <v>0</v>
      </c>
      <c r="H36" s="70"/>
      <c r="I36" s="16" t="str">
        <f aca="false">IF(AND(LEN(TRIM(A36&amp;""))&gt;0,TRIM(A36&amp;"")&lt;&gt;"—",LEN(TRIM(C36&amp;""))&gt;0,TRIM(C36&amp;"")&lt;&gt;"—"),"PASS","⚠ FAIL — "&amp;"a required cell is empty/placeholder or wrong type")</f>
        <v>PASS</v>
      </c>
    </row>
    <row r="37" customFormat="false" ht="15" hidden="false" customHeight="false" outlineLevel="0" collapsed="false">
      <c r="A37" s="11" t="str">
        <f aca="false">'Part names'!$B$69</f>
        <v>Permeate Outlet</v>
      </c>
      <c r="B37" s="11" t="str">
        <f aca="false">'Part names'!$A$69</f>
        <v>X-104</v>
      </c>
      <c r="C37" s="118" t="str">
        <f aca="false">IF(AND($G37=0,LEN(TRIM($H37&amp;""))=0),"✓ OK","✗ ISSUE — "&amp;TRIM(IF($G37&gt;0,$G37&amp;" unresolved endpoint(s)","")&amp;IF(AND($G37&gt;0,LEN(TRIM($H37&amp;""))&gt;0),"; ","")&amp;TRIM($H37&amp;"")))</f>
        <v>✓ OK</v>
      </c>
      <c r="D37" s="68" t="str">
        <f aca="false">A24&amp;", "&amp;A34</f>
        <v>Fresh Water Tank, Motor Control Center</v>
      </c>
      <c r="E37" s="68" t="str">
        <f aca="false">A8&amp;", "&amp;A52</f>
        <v>Cip Tank (TK-101), Ultrafiltration Module</v>
      </c>
      <c r="F37" s="11" t="s">
        <v>3119</v>
      </c>
      <c r="G37" s="84" t="n">
        <v>0</v>
      </c>
      <c r="H37" s="70"/>
      <c r="I37" s="16" t="str">
        <f aca="false">IF(AND(LEN(TRIM(A37&amp;""))&gt;0,TRIM(A37&amp;"")&lt;&gt;"—",LEN(TRIM(C37&amp;""))&gt;0,TRIM(C37&amp;"")&lt;&gt;"—"),"PASS","⚠ FAIL — "&amp;"a required cell is empty/placeholder or wrong type")</f>
        <v>PASS</v>
      </c>
    </row>
    <row r="38" customFormat="false" ht="15" hidden="false" customHeight="false" outlineLevel="0" collapsed="false">
      <c r="A38" s="11" t="str">
        <f aca="false">'Part names'!$B$70</f>
        <v>pH Analyser</v>
      </c>
      <c r="B38" s="11" t="str">
        <f aca="false">'Part names'!$A$70</f>
        <v>AT-201</v>
      </c>
      <c r="C38" s="118" t="str">
        <f aca="false">IF(AND($G38=0,LEN(TRIM($H38&amp;""))=0),"✓ OK","✗ ISSUE — "&amp;TRIM(IF($G38&gt;0,$G38&amp;" unresolved endpoint(s)","")&amp;IF(AND($G38&gt;0,LEN(TRIM($H38&amp;""))&gt;0),"; ","")&amp;TRIM($H38&amp;"")))</f>
        <v>✓ OK</v>
      </c>
      <c r="D38" s="68" t="s">
        <v>480</v>
      </c>
      <c r="E38" s="68" t="str">
        <f aca="false">A45</f>
        <v>SCADA / Plant Control System</v>
      </c>
      <c r="F38" s="11" t="s">
        <v>3115</v>
      </c>
      <c r="G38" s="84" t="n">
        <v>0</v>
      </c>
      <c r="H38" s="70"/>
      <c r="I38" s="16" t="str">
        <f aca="false">IF(AND(LEN(TRIM(A38&amp;""))&gt;0,TRIM(A38&amp;"")&lt;&gt;"—",LEN(TRIM(C38&amp;""))&gt;0,TRIM(C38&amp;"")&lt;&gt;"—"),"PASS","⚠ FAIL — "&amp;"a required cell is empty/placeholder or wrong type")</f>
        <v>PASS</v>
      </c>
    </row>
    <row r="39" customFormat="false" ht="15" hidden="false" customHeight="false" outlineLevel="0" collapsed="false">
      <c r="A39" s="11" t="str">
        <f aca="false">'Part names'!$B$71</f>
        <v>Ph Sensor</v>
      </c>
      <c r="B39" s="11" t="str">
        <f aca="false">'Part names'!$A$71</f>
        <v>I-106</v>
      </c>
      <c r="C39" s="118" t="str">
        <f aca="false">IF(AND($G39=0,LEN(TRIM($H39&amp;""))=0),"✓ OK","✗ ISSUE — "&amp;TRIM(IF($G39&gt;0,$G39&amp;" unresolved endpoint(s)","")&amp;IF(AND($G39&gt;0,LEN(TRIM($H39&amp;""))&gt;0),"; ","")&amp;TRIM($H39&amp;"")))</f>
        <v>✓ OK</v>
      </c>
      <c r="D39" s="68" t="s">
        <v>480</v>
      </c>
      <c r="E39" s="68" t="str">
        <f aca="false">A45</f>
        <v>SCADA / Plant Control System</v>
      </c>
      <c r="F39" s="11" t="s">
        <v>3115</v>
      </c>
      <c r="G39" s="84" t="n">
        <v>0</v>
      </c>
      <c r="H39" s="70"/>
      <c r="I39" s="16" t="str">
        <f aca="false">IF(AND(LEN(TRIM(A39&amp;""))&gt;0,TRIM(A39&amp;"")&lt;&gt;"—",LEN(TRIM(C39&amp;""))&gt;0,TRIM(C39&amp;"")&lt;&gt;"—"),"PASS","⚠ FAIL — "&amp;"a required cell is empty/placeholder or wrong type")</f>
        <v>PASS</v>
      </c>
    </row>
    <row r="40" customFormat="false" ht="15" hidden="false" customHeight="false" outlineLevel="0" collapsed="false">
      <c r="A40" s="11" t="str">
        <f aca="false">'Part names'!$B$72</f>
        <v>Piping Network</v>
      </c>
      <c r="B40" s="11" t="str">
        <f aca="false">'Part names'!$A$72</f>
        <v>X-102</v>
      </c>
      <c r="C40" s="118" t="str">
        <f aca="false">IF(AND($G40=0,LEN(TRIM($H40&amp;""))=0),"✓ OK","✗ ISSUE — "&amp;TRIM(IF($G40&gt;0,$G40&amp;" unresolved endpoint(s)","")&amp;IF(AND($G40&gt;0,LEN(TRIM($H40&amp;""))&gt;0),"; ","")&amp;TRIM($H40&amp;"")))</f>
        <v>✓ OK</v>
      </c>
      <c r="D40" s="68" t="str">
        <f aca="false">A34</f>
        <v>Motor Control Center</v>
      </c>
      <c r="E40" s="68" t="str">
        <f aca="false">A14</f>
        <v>Digital Control Panel</v>
      </c>
      <c r="F40" s="11" t="s">
        <v>3120</v>
      </c>
      <c r="G40" s="84" t="n">
        <v>0</v>
      </c>
      <c r="H40" s="70"/>
      <c r="I40" s="16" t="str">
        <f aca="false">IF(AND(LEN(TRIM(A40&amp;""))&gt;0,TRIM(A40&amp;"")&lt;&gt;"—",LEN(TRIM(C40&amp;""))&gt;0,TRIM(C40&amp;"")&lt;&gt;"—"),"PASS","⚠ FAIL — "&amp;"a required cell is empty/placeholder or wrong type")</f>
        <v>PASS</v>
      </c>
    </row>
    <row r="41" customFormat="false" ht="15" hidden="false" customHeight="false" outlineLevel="0" collapsed="false">
      <c r="A41" s="11" t="str">
        <f aca="false">'Part names'!$B$79</f>
        <v>Pressure Transmitter</v>
      </c>
      <c r="B41" s="11" t="str">
        <f aca="false">'Part names'!$A$79</f>
        <v>PT-201–217</v>
      </c>
      <c r="C41" s="118" t="str">
        <f aca="false">IF(AND($G41=0,LEN(TRIM($H41&amp;""))=0),"✓ OK","✗ ISSUE — "&amp;TRIM(IF($G41&gt;0,$G41&amp;" unresolved endpoint(s)","")&amp;IF(AND($G41&gt;0,LEN(TRIM($H41&amp;""))&gt;0),"; ","")&amp;TRIM($H41&amp;"")))</f>
        <v>✓ OK</v>
      </c>
      <c r="D41" s="68" t="s">
        <v>480</v>
      </c>
      <c r="E41" s="68" t="str">
        <f aca="false">A45</f>
        <v>SCADA / Plant Control System</v>
      </c>
      <c r="F41" s="11" t="s">
        <v>3115</v>
      </c>
      <c r="G41" s="84" t="n">
        <v>0</v>
      </c>
      <c r="H41" s="70"/>
      <c r="I41" s="16" t="str">
        <f aca="false">IF(AND(LEN(TRIM(A41&amp;""))&gt;0,TRIM(A41&amp;"")&lt;&gt;"—",LEN(TRIM(C41&amp;""))&gt;0,TRIM(C41&amp;"")&lt;&gt;"—"),"PASS","⚠ FAIL — "&amp;"a required cell is empty/placeholder or wrong type")</f>
        <v>PASS</v>
      </c>
    </row>
    <row r="42" customFormat="false" ht="15" hidden="false" customHeight="false" outlineLevel="0" collapsed="false">
      <c r="A42" s="11" t="str">
        <f aca="false">'Part names'!$B$81</f>
        <v>Reverse Osmosis Skid</v>
      </c>
      <c r="B42" s="11" t="str">
        <f aca="false">'Part names'!$A$81</f>
        <v>Z-101</v>
      </c>
      <c r="C42" s="118" t="str">
        <f aca="false">IF(AND($G42=0,LEN(TRIM($H42&amp;""))=0),"✓ OK","✗ ISSUE — "&amp;TRIM(IF($G42&gt;0,$G42&amp;" unresolved endpoint(s)","")&amp;IF(AND($G42&gt;0,LEN(TRIM($H42&amp;""))&gt;0),"; ","")&amp;TRIM($H42&amp;"")))</f>
        <v>✓ OK</v>
      </c>
      <c r="D42" s="68" t="str">
        <f aca="false">A43&amp;", "&amp;A16</f>
        <v>Ro High Pressure Pump, Drain Collection Sump</v>
      </c>
      <c r="E42" s="68" t="str">
        <f aca="false">A44&amp;", "&amp;A16</f>
        <v>Ro Membrane Elements, Drain Collection Sump</v>
      </c>
      <c r="F42" s="11" t="s">
        <v>3117</v>
      </c>
      <c r="G42" s="84" t="n">
        <v>0</v>
      </c>
      <c r="H42" s="70"/>
      <c r="I42" s="16" t="str">
        <f aca="false">IF(AND(LEN(TRIM(A42&amp;""))&gt;0,TRIM(A42&amp;"")&lt;&gt;"—",LEN(TRIM(C42&amp;""))&gt;0,TRIM(C42&amp;"")&lt;&gt;"—"),"PASS","⚠ FAIL — "&amp;"a required cell is empty/placeholder or wrong type")</f>
        <v>PASS</v>
      </c>
    </row>
    <row r="43" customFormat="false" ht="23.85" hidden="false" customHeight="false" outlineLevel="0" collapsed="false">
      <c r="A43" s="11" t="str">
        <f aca="false">'Part names'!$B$82</f>
        <v>Ro High Pressure Pump</v>
      </c>
      <c r="B43" s="11" t="str">
        <f aca="false">'Part names'!$A$82</f>
        <v>P-101</v>
      </c>
      <c r="C43" s="118" t="str">
        <f aca="false">IF(AND($G43=0,LEN(TRIM($H43&amp;""))=0),"✓ OK","✗ ISSUE — "&amp;TRIM(IF($G43&gt;0,$G43&amp;" unresolved endpoint(s)","")&amp;IF(AND($G43&gt;0,LEN(TRIM($H43&amp;""))&gt;0),"; ","")&amp;TRIM($H43&amp;"")))</f>
        <v>✓ OK</v>
      </c>
      <c r="D43" s="68" t="str">
        <f aca="false">A51&amp;", "&amp;A34&amp;", "&amp;A16</f>
        <v>Uf Module Bank, Motor Control Center, Drain Collection Sump</v>
      </c>
      <c r="E43" s="68" t="str">
        <f aca="false">A42&amp;", "&amp;A16</f>
        <v>Reverse Osmosis Skid, Drain Collection Sump</v>
      </c>
      <c r="F43" s="11" t="s">
        <v>3119</v>
      </c>
      <c r="G43" s="84" t="n">
        <v>0</v>
      </c>
      <c r="H43" s="70"/>
      <c r="I43" s="16" t="str">
        <f aca="false">IF(AND(LEN(TRIM(A43&amp;""))&gt;0,TRIM(A43&amp;"")&lt;&gt;"—",LEN(TRIM(C43&amp;""))&gt;0,TRIM(C43&amp;"")&lt;&gt;"—"),"PASS","⚠ FAIL — "&amp;"a required cell is empty/placeholder or wrong type")</f>
        <v>PASS</v>
      </c>
    </row>
    <row r="44" customFormat="false" ht="15" hidden="false" customHeight="false" outlineLevel="0" collapsed="false">
      <c r="A44" s="11" t="str">
        <f aca="false">'Part names'!$B$83</f>
        <v>Ro Membrane Elements</v>
      </c>
      <c r="B44" s="11" t="str">
        <f aca="false">'Part names'!$A$83</f>
        <v>F-1</v>
      </c>
      <c r="C44" s="118" t="str">
        <f aca="false">IF(AND($G44=0,LEN(TRIM($H44&amp;""))=0),"✓ OK","✗ ISSUE — "&amp;TRIM(IF($G44&gt;0,$G44&amp;" unresolved endpoint(s)","")&amp;IF(AND($G44&gt;0,LEN(TRIM($H44&amp;""))&gt;0),"; ","")&amp;TRIM($H44&amp;"")))</f>
        <v>✓ OK</v>
      </c>
      <c r="D44" s="68" t="str">
        <f aca="false">A42</f>
        <v>Reverse Osmosis Skid</v>
      </c>
      <c r="E44" s="68" t="str">
        <f aca="false">A10</f>
        <v>Cloth Filter</v>
      </c>
      <c r="F44" s="11" t="s">
        <v>3117</v>
      </c>
      <c r="G44" s="84" t="n">
        <v>0</v>
      </c>
      <c r="H44" s="70"/>
      <c r="I44" s="16" t="str">
        <f aca="false">IF(AND(LEN(TRIM(A44&amp;""))&gt;0,TRIM(A44&amp;"")&lt;&gt;"—",LEN(TRIM(C44&amp;""))&gt;0,TRIM(C44&amp;"")&lt;&gt;"—"),"PASS","⚠ FAIL — "&amp;"a required cell is empty/placeholder or wrong type")</f>
        <v>PASS</v>
      </c>
    </row>
    <row r="45" customFormat="false" ht="46.25" hidden="false" customHeight="false" outlineLevel="0" collapsed="false">
      <c r="A45" s="11" t="str">
        <f aca="false">'Part names'!$B$85</f>
        <v>SCADA / Plant Control System</v>
      </c>
      <c r="B45" s="11" t="str">
        <f aca="false">'Part names'!$A$85</f>
        <v>EP-103</v>
      </c>
      <c r="C45" s="118" t="str">
        <f aca="false">IF(AND($G45=0,LEN(TRIM($H45&amp;""))=0),"✓ OK","✗ ISSUE — "&amp;TRIM(IF($G45&gt;0,$G45&amp;" unresolved endpoint(s)","")&amp;IF(AND($G45&gt;0,LEN(TRIM($H45&amp;""))&gt;0),"; ","")&amp;TRIM($H45&amp;"")))</f>
        <v>✓ OK</v>
      </c>
      <c r="D45" s="68" t="str">
        <f aca="false">A12&amp;", "&amp;A23&amp;", "&amp;A39&amp;", "&amp;A36&amp;", "&amp;A31&amp;", "&amp;A38&amp;", "&amp;A41&amp;", "&amp;A46&amp;", "&amp;A7&amp;", "&amp;A49&amp;", "&amp;A30&amp;", "&amp;A34</f>
        <v>Conductivity Sensor, Flow Meter (I-105), Ph Sensor, Orp Sensor, Level Transmitter, pH Analyser, Pressure Transmitter, Silica Analyzer, Chlorine Sensor, Tds Sensor, Leak Detection Sensor, Motor Control Center</v>
      </c>
      <c r="E45" s="68" t="s">
        <v>480</v>
      </c>
      <c r="F45" s="11" t="s">
        <v>3120</v>
      </c>
      <c r="G45" s="84" t="n">
        <v>0</v>
      </c>
      <c r="H45" s="70"/>
      <c r="I45" s="16" t="str">
        <f aca="false">IF(AND(LEN(TRIM(A45&amp;""))&gt;0,TRIM(A45&amp;"")&lt;&gt;"—",LEN(TRIM(C45&amp;""))&gt;0,TRIM(C45&amp;"")&lt;&gt;"—"),"PASS","⚠ FAIL — "&amp;"a required cell is empty/placeholder or wrong type")</f>
        <v>PASS</v>
      </c>
    </row>
    <row r="46" customFormat="false" ht="15" hidden="false" customHeight="false" outlineLevel="0" collapsed="false">
      <c r="A46" s="11" t="str">
        <f aca="false">'Part names'!$B$86</f>
        <v>Silica Analyzer</v>
      </c>
      <c r="B46" s="11" t="str">
        <f aca="false">'Part names'!$A$86</f>
        <v>I-108</v>
      </c>
      <c r="C46" s="118" t="str">
        <f aca="false">IF(AND($G46=0,LEN(TRIM($H46&amp;""))=0),"✓ OK","✗ ISSUE — "&amp;TRIM(IF($G46&gt;0,$G46&amp;" unresolved endpoint(s)","")&amp;IF(AND($G46&gt;0,LEN(TRIM($H46&amp;""))&gt;0),"; ","")&amp;TRIM($H46&amp;"")))</f>
        <v>✓ OK</v>
      </c>
      <c r="D46" s="68" t="s">
        <v>480</v>
      </c>
      <c r="E46" s="68" t="str">
        <f aca="false">A45</f>
        <v>SCADA / Plant Control System</v>
      </c>
      <c r="F46" s="11" t="s">
        <v>3115</v>
      </c>
      <c r="G46" s="84" t="n">
        <v>0</v>
      </c>
      <c r="H46" s="70"/>
      <c r="I46" s="16" t="str">
        <f aca="false">IF(AND(LEN(TRIM(A46&amp;""))&gt;0,TRIM(A46&amp;"")&lt;&gt;"—",LEN(TRIM(C46&amp;""))&gt;0,TRIM(C46&amp;"")&lt;&gt;"—"),"PASS","⚠ FAIL — "&amp;"a required cell is empty/placeholder or wrong type")</f>
        <v>PASS</v>
      </c>
    </row>
    <row r="47" customFormat="false" ht="15" hidden="false" customHeight="false" outlineLevel="0" collapsed="false">
      <c r="A47" s="11" t="str">
        <f aca="false">'Part names'!$B$87</f>
        <v>Softener Vessel</v>
      </c>
      <c r="B47" s="11" t="str">
        <f aca="false">'Part names'!$A$87</f>
        <v>V-106</v>
      </c>
      <c r="C47" s="118" t="str">
        <f aca="false">IF(AND($G47=0,LEN(TRIM($H47&amp;""))=0),"✓ OK","✗ ISSUE — "&amp;TRIM(IF($G47&gt;0,$G47&amp;" unresolved endpoint(s)","")&amp;IF(AND($G47&gt;0,LEN(TRIM($H47&amp;""))&gt;0),"; ","")&amp;TRIM($H47&amp;"")))</f>
        <v>✓ OK</v>
      </c>
      <c r="D47" s="68" t="str">
        <f aca="false">A26&amp;", "&amp;A16</f>
        <v>Gac Softener, Drain Collection Sump</v>
      </c>
      <c r="E47" s="68" t="str">
        <f aca="false">A27&amp;", "&amp;A16</f>
        <v>Grp Membrane Housings, Drain Collection Sump</v>
      </c>
      <c r="F47" s="11" t="s">
        <v>3117</v>
      </c>
      <c r="G47" s="84" t="n">
        <v>0</v>
      </c>
      <c r="H47" s="70"/>
      <c r="I47" s="16" t="str">
        <f aca="false">IF(AND(LEN(TRIM(A47&amp;""))&gt;0,TRIM(A47&amp;"")&lt;&gt;"—",LEN(TRIM(C47&amp;""))&gt;0,TRIM(C47&amp;"")&lt;&gt;"—"),"PASS","⚠ FAIL — "&amp;"a required cell is empty/placeholder or wrong type")</f>
        <v>PASS</v>
      </c>
    </row>
    <row r="48" customFormat="false" ht="15" hidden="false" customHeight="false" outlineLevel="0" collapsed="false">
      <c r="A48" s="11" t="str">
        <f aca="false">'Part names'!$B$90</f>
        <v>Standby Diesel Generator</v>
      </c>
      <c r="B48" s="11" t="str">
        <f aca="false">'Part names'!$A$90</f>
        <v>G-201</v>
      </c>
      <c r="C48" s="118" t="str">
        <f aca="false">IF(AND($G48=0,LEN(TRIM($H48&amp;""))=0),"✓ OK","✗ ISSUE — "&amp;TRIM(IF($G48&gt;0,$G48&amp;" unresolved endpoint(s)","")&amp;IF(AND($G48&gt;0,LEN(TRIM($H48&amp;""))&gt;0),"; ","")&amp;TRIM($H48&amp;"")))</f>
        <v>✓ OK</v>
      </c>
      <c r="D48" s="68" t="str">
        <f aca="false">A33</f>
        <v>Mains Incomer</v>
      </c>
      <c r="E48" s="68" t="str">
        <f aca="false">A50</f>
        <v>Transformer</v>
      </c>
      <c r="F48" s="11" t="s">
        <v>3114</v>
      </c>
      <c r="G48" s="84" t="n">
        <v>0</v>
      </c>
      <c r="H48" s="70"/>
      <c r="I48" s="16" t="str">
        <f aca="false">IF(AND(LEN(TRIM(A48&amp;""))&gt;0,TRIM(A48&amp;"")&lt;&gt;"—",LEN(TRIM(C48&amp;""))&gt;0,TRIM(C48&amp;"")&lt;&gt;"—"),"PASS","⚠ FAIL — "&amp;"a required cell is empty/placeholder or wrong type")</f>
        <v>PASS</v>
      </c>
    </row>
    <row r="49" customFormat="false" ht="15" hidden="false" customHeight="false" outlineLevel="0" collapsed="false">
      <c r="A49" s="11" t="str">
        <f aca="false">'Part names'!$B$92</f>
        <v>Tds Sensor</v>
      </c>
      <c r="B49" s="11" t="str">
        <f aca="false">'Part names'!$A$92</f>
        <v>I-110</v>
      </c>
      <c r="C49" s="118" t="str">
        <f aca="false">IF(AND($G49=0,LEN(TRIM($H49&amp;""))=0),"✓ OK","✗ ISSUE — "&amp;TRIM(IF($G49&gt;0,$G49&amp;" unresolved endpoint(s)","")&amp;IF(AND($G49&gt;0,LEN(TRIM($H49&amp;""))&gt;0),"; ","")&amp;TRIM($H49&amp;"")))</f>
        <v>✓ OK</v>
      </c>
      <c r="D49" s="68" t="s">
        <v>480</v>
      </c>
      <c r="E49" s="68" t="str">
        <f aca="false">A45</f>
        <v>SCADA / Plant Control System</v>
      </c>
      <c r="F49" s="11" t="s">
        <v>3115</v>
      </c>
      <c r="G49" s="84" t="n">
        <v>0</v>
      </c>
      <c r="H49" s="70"/>
      <c r="I49" s="16" t="str">
        <f aca="false">IF(AND(LEN(TRIM(A49&amp;""))&gt;0,TRIM(A49&amp;"")&lt;&gt;"—",LEN(TRIM(C49&amp;""))&gt;0,TRIM(C49&amp;"")&lt;&gt;"—"),"PASS","⚠ FAIL — "&amp;"a required cell is empty/placeholder or wrong type")</f>
        <v>PASS</v>
      </c>
    </row>
    <row r="50" customFormat="false" ht="15" hidden="false" customHeight="false" outlineLevel="0" collapsed="false">
      <c r="A50" s="11" t="str">
        <f aca="false">'Part names'!$B$94</f>
        <v>Transformer</v>
      </c>
      <c r="B50" s="11" t="str">
        <f aca="false">'Part names'!$A$94</f>
        <v>TX-101</v>
      </c>
      <c r="C50" s="118" t="str">
        <f aca="false">IF(AND($G50=0,LEN(TRIM($H50&amp;""))=0),"✓ OK","✗ ISSUE — "&amp;TRIM(IF($G50&gt;0,$G50&amp;" unresolved endpoint(s)","")&amp;IF(AND($G50&gt;0,LEN(TRIM($H50&amp;""))&gt;0),"; ","")&amp;TRIM($H50&amp;"")))</f>
        <v>✓ OK</v>
      </c>
      <c r="D50" s="68" t="str">
        <f aca="false">A48</f>
        <v>Standby Diesel Generator</v>
      </c>
      <c r="E50" s="68" t="str">
        <f aca="false">A32</f>
        <v>Main Switchboard</v>
      </c>
      <c r="F50" s="11" t="s">
        <v>3114</v>
      </c>
      <c r="G50" s="84" t="n">
        <v>0</v>
      </c>
      <c r="H50" s="70"/>
      <c r="I50" s="16" t="str">
        <f aca="false">IF(AND(LEN(TRIM(A50&amp;""))&gt;0,TRIM(A50&amp;"")&lt;&gt;"—",LEN(TRIM(C50&amp;""))&gt;0,TRIM(C50&amp;"")&lt;&gt;"—"),"PASS","⚠ FAIL — "&amp;"a required cell is empty/placeholder or wrong type")</f>
        <v>PASS</v>
      </c>
    </row>
    <row r="51" customFormat="false" ht="15" hidden="false" customHeight="false" outlineLevel="0" collapsed="false">
      <c r="A51" s="11" t="str">
        <f aca="false">'Part names'!$B$96</f>
        <v>Uf Module Bank</v>
      </c>
      <c r="B51" s="11" t="str">
        <f aca="false">'Part names'!$A$96</f>
        <v>Z-102</v>
      </c>
      <c r="C51" s="118" t="str">
        <f aca="false">IF(AND($G51=0,LEN(TRIM($H51&amp;""))=0),"✓ OK","✗ ISSUE — "&amp;TRIM(IF($G51&gt;0,$G51&amp;" unresolved endpoint(s)","")&amp;IF(AND($G51&gt;0,LEN(TRIM($H51&amp;""))&gt;0),"; ","")&amp;TRIM($H51&amp;"")))</f>
        <v>✓ OK</v>
      </c>
      <c r="D51" s="68" t="str">
        <f aca="false">A27&amp;", "&amp;A16</f>
        <v>Grp Membrane Housings, Drain Collection Sump</v>
      </c>
      <c r="E51" s="68" t="str">
        <f aca="false">A43&amp;", "&amp;A16</f>
        <v>Ro High Pressure Pump, Drain Collection Sump</v>
      </c>
      <c r="F51" s="11" t="s">
        <v>3117</v>
      </c>
      <c r="G51" s="84" t="n">
        <v>0</v>
      </c>
      <c r="H51" s="70"/>
      <c r="I51" s="16" t="str">
        <f aca="false">IF(AND(LEN(TRIM(A51&amp;""))&gt;0,TRIM(A51&amp;"")&lt;&gt;"—",LEN(TRIM(C51&amp;""))&gt;0,TRIM(C51&amp;"")&lt;&gt;"—"),"PASS","⚠ FAIL — "&amp;"a required cell is empty/placeholder or wrong type")</f>
        <v>PASS</v>
      </c>
    </row>
    <row r="52" customFormat="false" ht="15" hidden="false" customHeight="false" outlineLevel="0" collapsed="false">
      <c r="A52" s="11" t="str">
        <f aca="false">'Part names'!$B$97</f>
        <v>Ultrafiltration Module</v>
      </c>
      <c r="B52" s="11" t="str">
        <f aca="false">'Part names'!$A$97</f>
        <v>Z-103</v>
      </c>
      <c r="C52" s="118" t="str">
        <f aca="false">IF(AND($G52=0,LEN(TRIM($H52&amp;""))=0),"✓ OK","✗ ISSUE — "&amp;TRIM(IF($G52&gt;0,$G52&amp;" unresolved endpoint(s)","")&amp;IF(AND($G52&gt;0,LEN(TRIM($H52&amp;""))&gt;0),"; ","")&amp;TRIM($H52&amp;"")))</f>
        <v>✓ OK</v>
      </c>
      <c r="D52" s="68" t="str">
        <f aca="false">A37</f>
        <v>Permeate Outlet</v>
      </c>
      <c r="E52" s="68" t="str">
        <f aca="false">A24</f>
        <v>Fresh Water Tank</v>
      </c>
      <c r="F52" s="11" t="s">
        <v>3117</v>
      </c>
      <c r="G52" s="84" t="n">
        <v>0</v>
      </c>
      <c r="H52" s="70"/>
      <c r="I52" s="16" t="str">
        <f aca="false">IF(AND(LEN(TRIM(A52&amp;""))&gt;0,TRIM(A52&amp;"")&lt;&gt;"—",LEN(TRIM(C52&amp;""))&gt;0,TRIM(C52&amp;"")&lt;&gt;"—"),"PASS","⚠ FAIL — "&amp;"a required cell is empty/placeholder or wrong type")</f>
        <v>PASS</v>
      </c>
    </row>
    <row r="53" customFormat="false" ht="23.85" hidden="false" customHeight="false" outlineLevel="0" collapsed="false">
      <c r="A53" s="11" t="str">
        <f aca="false">'Part names'!$B$98</f>
        <v>Uv Disinfection</v>
      </c>
      <c r="B53" s="11" t="str">
        <f aca="false">'Part names'!$A$98</f>
        <v>V-102</v>
      </c>
      <c r="C53" s="118" t="str">
        <f aca="false">IF(AND($G53=0,LEN(TRIM($H53&amp;""))=0),"✓ OK","✗ ISSUE — "&amp;TRIM(IF($G53&gt;0,$G53&amp;" unresolved endpoint(s)","")&amp;IF(AND($G53&gt;0,LEN(TRIM($H53&amp;""))&gt;0),"; ","")&amp;TRIM($H53&amp;"")))</f>
        <v>✓ OK</v>
      </c>
      <c r="D53" s="68" t="str">
        <f aca="false">A25&amp;", "&amp;A34&amp;", "&amp;A16</f>
        <v>Gac Filter, Motor Control Center, Drain Collection Sump</v>
      </c>
      <c r="E53" s="68" t="str">
        <f aca="false">A16</f>
        <v>Drain Collection Sump</v>
      </c>
      <c r="F53" s="11" t="s">
        <v>3119</v>
      </c>
      <c r="G53" s="84" t="n">
        <v>0</v>
      </c>
      <c r="H53" s="70"/>
      <c r="I53" s="16" t="str">
        <f aca="false">IF(AND(LEN(TRIM(A53&amp;""))&gt;0,TRIM(A53&amp;"")&lt;&gt;"—",LEN(TRIM(C53&amp;""))&gt;0,TRIM(C53&amp;"")&lt;&gt;"—"),"PASS","⚠ FAIL — "&amp;"a required cell is empty/placeholder or wrong type")</f>
        <v>PASS</v>
      </c>
    </row>
    <row r="55" customFormat="false" ht="24" hidden="false" customHeight="true" outlineLevel="0" collapsed="false">
      <c r="A55" s="1" t="s">
        <v>3123</v>
      </c>
      <c r="B55" s="1"/>
      <c r="C55" s="1"/>
      <c r="D55" s="1"/>
      <c r="E55" s="1"/>
      <c r="F55" s="1"/>
    </row>
    <row r="57" customFormat="false" ht="15" hidden="false" customHeight="false" outlineLevel="0" collapsed="false">
      <c r="A57" s="8" t="s">
        <v>3124</v>
      </c>
      <c r="B57" s="8"/>
      <c r="C57" s="8"/>
      <c r="D57" s="8"/>
      <c r="E57" s="8"/>
      <c r="F57" s="8"/>
    </row>
    <row r="58" customFormat="false" ht="15" hidden="false" customHeight="false" outlineLevel="0" collapsed="false">
      <c r="A58" s="119" t="s">
        <v>3125</v>
      </c>
      <c r="B58" s="119"/>
      <c r="C58" s="119"/>
      <c r="D58" s="119"/>
      <c r="E58" s="119"/>
      <c r="F58" s="119"/>
    </row>
    <row r="59" customFormat="false" ht="15" hidden="false" customHeight="false" outlineLevel="0" collapsed="false">
      <c r="A59" s="9" t="s">
        <v>3126</v>
      </c>
      <c r="B59" s="9" t="s">
        <v>406</v>
      </c>
      <c r="C59" s="9" t="s">
        <v>3127</v>
      </c>
      <c r="D59" s="9" t="s">
        <v>3109</v>
      </c>
      <c r="E59" s="9" t="s">
        <v>3110</v>
      </c>
      <c r="F59" s="9" t="s">
        <v>3128</v>
      </c>
      <c r="G59" s="84" t="s">
        <v>3129</v>
      </c>
      <c r="H59" s="84" t="s">
        <v>3130</v>
      </c>
      <c r="I59" s="10" t="s">
        <v>20</v>
      </c>
    </row>
    <row r="60" customFormat="false" ht="15" hidden="false" customHeight="false" outlineLevel="0" collapsed="false">
      <c r="A60" s="11" t="s">
        <v>3131</v>
      </c>
      <c r="B60" s="11" t="s">
        <v>3132</v>
      </c>
      <c r="C60" s="11" t="s">
        <v>3133</v>
      </c>
      <c r="D60" s="68" t="s">
        <v>480</v>
      </c>
      <c r="E60" s="68" t="s">
        <v>480</v>
      </c>
      <c r="F60" s="120" t="str">
        <f aca="false">IF($G60+$H60&gt;0,"✓ "&amp;$G60&amp;" in / "&amp;$H60&amp;" out","✗ unconnected ("&amp;$G60&amp;" in / "&amp;$H60&amp;" out)")</f>
        <v>✗ unconnected (0 in / 0 out)</v>
      </c>
      <c r="G60" s="84" t="n">
        <v>0</v>
      </c>
      <c r="H60" s="84" t="n">
        <v>0</v>
      </c>
      <c r="I60" s="16" t="str">
        <f aca="false">IF(AND(LEN(TRIM(A60&amp;""))&gt;0,TRIM(A60&amp;"")&lt;&gt;"—",LEN(TRIM(C60&amp;""))&gt;0,TRIM(C60&amp;"")&lt;&gt;"—"),"PASS","⚠ FAIL — "&amp;"a required cell is empty/placeholder or wrong type")</f>
        <v>PASS</v>
      </c>
    </row>
    <row r="61" customFormat="false" ht="15" hidden="false" customHeight="false" outlineLevel="0" collapsed="false">
      <c r="A61" s="11" t="s">
        <v>470</v>
      </c>
      <c r="B61" s="11" t="s">
        <v>3134</v>
      </c>
      <c r="C61" s="11" t="s">
        <v>3135</v>
      </c>
      <c r="D61" s="68" t="s">
        <v>480</v>
      </c>
      <c r="E61" s="68" t="s">
        <v>480</v>
      </c>
      <c r="F61" s="120" t="str">
        <f aca="false">IF($G61+$H61&gt;0,"✓ "&amp;$G61&amp;" in / "&amp;$H61&amp;" out","✗ unconnected ("&amp;$G61&amp;" in / "&amp;$H61&amp;" out)")</f>
        <v>✗ unconnected (0 in / 0 out)</v>
      </c>
      <c r="G61" s="84" t="n">
        <v>0</v>
      </c>
      <c r="H61" s="84" t="n">
        <v>0</v>
      </c>
      <c r="I61" s="16" t="str">
        <f aca="false">IF(AND(LEN(TRIM(A61&amp;""))&gt;0,TRIM(A61&amp;"")&lt;&gt;"—",LEN(TRIM(C61&amp;""))&gt;0,TRIM(C61&amp;"")&lt;&gt;"—"),"PASS","⚠ FAIL — "&amp;"a required cell is empty/placeholder or wrong type")</f>
        <v>PASS</v>
      </c>
    </row>
    <row r="62" customFormat="false" ht="15" hidden="false" customHeight="false" outlineLevel="0" collapsed="false">
      <c r="A62" s="11" t="s">
        <v>834</v>
      </c>
      <c r="B62" s="11" t="s">
        <v>3136</v>
      </c>
      <c r="C62" s="11" t="s">
        <v>3135</v>
      </c>
      <c r="D62" s="68" t="s">
        <v>480</v>
      </c>
      <c r="E62" s="68" t="s">
        <v>480</v>
      </c>
      <c r="F62" s="120" t="str">
        <f aca="false">IF($G62+$H62&gt;0,"✓ "&amp;$G62&amp;" in / "&amp;$H62&amp;" out","✗ unconnected ("&amp;$G62&amp;" in / "&amp;$H62&amp;" out)")</f>
        <v>✗ unconnected (0 in / 0 out)</v>
      </c>
      <c r="G62" s="84" t="n">
        <v>0</v>
      </c>
      <c r="H62" s="84" t="n">
        <v>0</v>
      </c>
      <c r="I62" s="16" t="str">
        <f aca="false">IF(AND(LEN(TRIM(A62&amp;""))&gt;0,TRIM(A62&amp;"")&lt;&gt;"—",LEN(TRIM(C62&amp;""))&gt;0,TRIM(C62&amp;"")&lt;&gt;"—"),"PASS","⚠ FAIL — "&amp;"a required cell is empty/placeholder or wrong type")</f>
        <v>PASS</v>
      </c>
    </row>
    <row r="63" customFormat="false" ht="15" hidden="false" customHeight="false" outlineLevel="0" collapsed="false">
      <c r="A63" s="11" t="s">
        <v>884</v>
      </c>
      <c r="B63" s="11" t="s">
        <v>3137</v>
      </c>
      <c r="C63" s="11" t="s">
        <v>3135</v>
      </c>
      <c r="D63" s="68" t="s">
        <v>480</v>
      </c>
      <c r="E63" s="68" t="s">
        <v>480</v>
      </c>
      <c r="F63" s="120" t="str">
        <f aca="false">IF($G63+$H63&gt;0,"✓ "&amp;$G63&amp;" in / "&amp;$H63&amp;" out","✗ unconnected ("&amp;$G63&amp;" in / "&amp;$H63&amp;" out)")</f>
        <v>✗ unconnected (0 in / 0 out)</v>
      </c>
      <c r="G63" s="84" t="n">
        <v>0</v>
      </c>
      <c r="H63" s="84" t="n">
        <v>0</v>
      </c>
      <c r="I63" s="16" t="str">
        <f aca="false">IF(AND(LEN(TRIM(A63&amp;""))&gt;0,TRIM(A63&amp;"")&lt;&gt;"—",LEN(TRIM(C63&amp;""))&gt;0,TRIM(C63&amp;"")&lt;&gt;"—"),"PASS","⚠ FAIL — "&amp;"a required cell is empty/placeholder or wrong type")</f>
        <v>PASS</v>
      </c>
    </row>
    <row r="64" customFormat="false" ht="15" hidden="false" customHeight="false" outlineLevel="0" collapsed="false">
      <c r="A64" s="11" t="s">
        <v>885</v>
      </c>
      <c r="B64" s="11" t="s">
        <v>3138</v>
      </c>
      <c r="C64" s="11" t="s">
        <v>3133</v>
      </c>
      <c r="D64" s="68" t="s">
        <v>480</v>
      </c>
      <c r="E64" s="68" t="s">
        <v>480</v>
      </c>
      <c r="F64" s="121" t="str">
        <f aca="false">IF($G64+$H64&gt;0,"✓ "&amp;$G64&amp;" in / "&amp;$H64&amp;" out","✗ unconnected ("&amp;$G64&amp;" in / "&amp;$H64&amp;" out)")</f>
        <v>✗ unconnected (0 in / 0 out)</v>
      </c>
      <c r="G64" s="84" t="n">
        <v>0</v>
      </c>
      <c r="H64" s="84" t="n">
        <v>0</v>
      </c>
      <c r="I64" s="16" t="str">
        <f aca="false">IF(AND(LEN(TRIM(A64&amp;""))&gt;0,TRIM(A64&amp;"")&lt;&gt;"—",LEN(TRIM(C64&amp;""))&gt;0,TRIM(C64&amp;"")&lt;&gt;"—"),"PASS","⚠ FAIL — "&amp;"a required cell is empty/placeholder or wrong type")</f>
        <v>PASS</v>
      </c>
    </row>
    <row r="66" customFormat="false" ht="15" hidden="false" customHeight="false" outlineLevel="0" collapsed="false">
      <c r="A66" s="119" t="s">
        <v>3139</v>
      </c>
      <c r="B66" s="119"/>
      <c r="C66" s="119"/>
      <c r="D66" s="119"/>
      <c r="E66" s="119"/>
      <c r="F66" s="119"/>
    </row>
    <row r="67" customFormat="false" ht="15" hidden="false" customHeight="false" outlineLevel="0" collapsed="false">
      <c r="A67" s="9" t="s">
        <v>3126</v>
      </c>
      <c r="B67" s="9" t="s">
        <v>406</v>
      </c>
      <c r="C67" s="9" t="s">
        <v>3127</v>
      </c>
      <c r="D67" s="9" t="s">
        <v>3109</v>
      </c>
      <c r="E67" s="9" t="s">
        <v>3110</v>
      </c>
      <c r="F67" s="9" t="s">
        <v>3128</v>
      </c>
      <c r="G67" s="84" t="s">
        <v>3129</v>
      </c>
      <c r="H67" s="84" t="s">
        <v>3130</v>
      </c>
    </row>
    <row r="68" customFormat="false" ht="15" hidden="false" customHeight="false" outlineLevel="0" collapsed="false">
      <c r="A68" s="101" t="s">
        <v>3140</v>
      </c>
      <c r="B68" s="101"/>
      <c r="C68" s="101"/>
      <c r="D68" s="101"/>
      <c r="E68" s="101"/>
      <c r="F68" s="101"/>
    </row>
    <row r="70" customFormat="false" ht="15" hidden="false" customHeight="false" outlineLevel="0" collapsed="false">
      <c r="A70" s="122" t="s">
        <v>3141</v>
      </c>
      <c r="B70" s="122"/>
      <c r="C70" s="122"/>
      <c r="D70" s="122"/>
      <c r="E70" s="122"/>
      <c r="F70" s="122"/>
    </row>
    <row r="71" customFormat="false" ht="15" hidden="false" customHeight="false" outlineLevel="0" collapsed="false">
      <c r="A71" s="9" t="s">
        <v>3126</v>
      </c>
      <c r="B71" s="9" t="s">
        <v>406</v>
      </c>
      <c r="C71" s="9" t="s">
        <v>3127</v>
      </c>
      <c r="D71" s="9" t="s">
        <v>3109</v>
      </c>
      <c r="E71" s="9" t="s">
        <v>3110</v>
      </c>
      <c r="F71" s="9" t="s">
        <v>3128</v>
      </c>
      <c r="G71" s="84" t="s">
        <v>3129</v>
      </c>
      <c r="H71" s="84" t="s">
        <v>3130</v>
      </c>
    </row>
    <row r="72" customFormat="false" ht="15" hidden="false" customHeight="false" outlineLevel="0" collapsed="false">
      <c r="A72" s="101" t="s">
        <v>3140</v>
      </c>
      <c r="B72" s="101"/>
      <c r="C72" s="101"/>
      <c r="D72" s="101"/>
      <c r="E72" s="101"/>
      <c r="F72" s="101"/>
    </row>
    <row r="74" customFormat="false" ht="15" hidden="false" customHeight="false" outlineLevel="0" collapsed="false">
      <c r="A74" s="119" t="s">
        <v>3142</v>
      </c>
      <c r="B74" s="119"/>
      <c r="C74" s="119"/>
      <c r="D74" s="119"/>
      <c r="E74" s="119"/>
      <c r="F74" s="119"/>
    </row>
    <row r="75" customFormat="false" ht="15" hidden="false" customHeight="false" outlineLevel="0" collapsed="false">
      <c r="A75" s="9" t="s">
        <v>3126</v>
      </c>
      <c r="B75" s="9" t="s">
        <v>406</v>
      </c>
      <c r="C75" s="9" t="s">
        <v>3127</v>
      </c>
      <c r="D75" s="9" t="s">
        <v>3109</v>
      </c>
      <c r="E75" s="9" t="s">
        <v>3110</v>
      </c>
      <c r="F75" s="9" t="s">
        <v>3128</v>
      </c>
      <c r="G75" s="84" t="s">
        <v>3129</v>
      </c>
      <c r="H75" s="84" t="s">
        <v>3130</v>
      </c>
    </row>
    <row r="76" customFormat="false" ht="15" hidden="false" customHeight="false" outlineLevel="0" collapsed="false">
      <c r="A76" s="101" t="s">
        <v>3140</v>
      </c>
      <c r="B76" s="101"/>
      <c r="C76" s="101"/>
      <c r="D76" s="101"/>
      <c r="E76" s="101"/>
      <c r="F76" s="101"/>
    </row>
    <row r="78" customFormat="false" ht="15" hidden="false" customHeight="false" outlineLevel="0" collapsed="false">
      <c r="A78" s="119" t="s">
        <v>3143</v>
      </c>
      <c r="B78" s="119"/>
      <c r="C78" s="119"/>
      <c r="D78" s="119"/>
      <c r="E78" s="119"/>
      <c r="F78" s="119"/>
    </row>
    <row r="79" customFormat="false" ht="15" hidden="false" customHeight="false" outlineLevel="0" collapsed="false">
      <c r="A79" s="9" t="s">
        <v>3126</v>
      </c>
      <c r="B79" s="9" t="s">
        <v>406</v>
      </c>
      <c r="C79" s="9" t="s">
        <v>3127</v>
      </c>
      <c r="D79" s="9" t="s">
        <v>3109</v>
      </c>
      <c r="E79" s="9" t="s">
        <v>3110</v>
      </c>
      <c r="F79" s="9" t="s">
        <v>3128</v>
      </c>
      <c r="G79" s="84" t="s">
        <v>3129</v>
      </c>
      <c r="H79" s="84" t="s">
        <v>3130</v>
      </c>
    </row>
    <row r="80" customFormat="false" ht="15" hidden="false" customHeight="false" outlineLevel="0" collapsed="false">
      <c r="A80" s="101" t="s">
        <v>3140</v>
      </c>
      <c r="B80" s="101"/>
      <c r="C80" s="101"/>
      <c r="D80" s="101"/>
      <c r="E80" s="101"/>
      <c r="F80" s="101"/>
    </row>
    <row r="82" customFormat="false" ht="15" hidden="false" customHeight="false" outlineLevel="0" collapsed="false">
      <c r="A82" s="119" t="s">
        <v>3144</v>
      </c>
      <c r="B82" s="119"/>
      <c r="C82" s="119"/>
      <c r="D82" s="119"/>
      <c r="E82" s="119"/>
      <c r="F82" s="119"/>
    </row>
    <row r="83" customFormat="false" ht="15" hidden="false" customHeight="false" outlineLevel="0" collapsed="false">
      <c r="A83" s="9" t="s">
        <v>3126</v>
      </c>
      <c r="B83" s="9" t="s">
        <v>406</v>
      </c>
      <c r="C83" s="9" t="s">
        <v>3127</v>
      </c>
      <c r="D83" s="9" t="s">
        <v>3109</v>
      </c>
      <c r="E83" s="9" t="s">
        <v>3110</v>
      </c>
      <c r="F83" s="9" t="s">
        <v>3128</v>
      </c>
      <c r="G83" s="84" t="s">
        <v>3129</v>
      </c>
      <c r="H83" s="84" t="s">
        <v>3130</v>
      </c>
    </row>
    <row r="84" customFormat="false" ht="15" hidden="false" customHeight="false" outlineLevel="0" collapsed="false">
      <c r="A84" s="101" t="s">
        <v>3140</v>
      </c>
      <c r="B84" s="101"/>
      <c r="C84" s="101"/>
      <c r="D84" s="101"/>
      <c r="E84" s="101"/>
      <c r="F84" s="101"/>
    </row>
  </sheetData>
  <autoFilter ref="A5:F53"/>
  <mergeCells count="17">
    <mergeCell ref="A1:F1"/>
    <mergeCell ref="A2:F2"/>
    <mergeCell ref="A3:F3"/>
    <mergeCell ref="A4:F4"/>
    <mergeCell ref="A55:F55"/>
    <mergeCell ref="A57:F57"/>
    <mergeCell ref="A58:F58"/>
    <mergeCell ref="A66:F66"/>
    <mergeCell ref="A68:F68"/>
    <mergeCell ref="A70:F70"/>
    <mergeCell ref="A72:F72"/>
    <mergeCell ref="A74:F74"/>
    <mergeCell ref="A76:F76"/>
    <mergeCell ref="A78:F78"/>
    <mergeCell ref="A80:F80"/>
    <mergeCell ref="A82:F82"/>
    <mergeCell ref="A84:F84"/>
  </mergeCells>
  <conditionalFormatting sqref="C6:C53">
    <cfRule type="cellIs" priority="2" operator="equal" aboveAverage="0" equalAverage="0" bottom="0" percent="0" rank="0" text="" dxfId="1">
      <formula>"PASS"</formula>
    </cfRule>
  </conditionalFormatting>
  <hyperlinks>
    <hyperlink ref="G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7F7F"/>
    <pageSetUpPr fitToPage="false"/>
  </sheetPr>
  <dimension ref="A1:I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4"/>
    <col collapsed="false" customWidth="true" hidden="false" outlineLevel="0" max="2" min="2" style="0" width="14"/>
    <col collapsed="false" customWidth="true" hidden="false" outlineLevel="0" max="3" min="3" style="0" width="10"/>
    <col collapsed="false" customWidth="true" hidden="false" outlineLevel="0" max="4" min="4" style="0" width="14"/>
    <col collapsed="false" customWidth="true" hidden="false" outlineLevel="0" max="5" min="5" style="0" width="12"/>
    <col collapsed="false" customWidth="true" hidden="false" outlineLevel="0" max="6" min="6" style="0" width="50"/>
    <col collapsed="false" customWidth="true" hidden="false" outlineLevel="0" max="8" min="7" style="0" width="34"/>
    <col collapsed="false" customWidth="true" hidden="false" outlineLevel="0" max="9" min="9" style="0" width="13"/>
  </cols>
  <sheetData>
    <row r="1" customFormat="false" ht="25.5" hidden="false" customHeight="true" outlineLevel="0" collapsed="false">
      <c r="A1" s="1" t="s">
        <v>3145</v>
      </c>
      <c r="B1" s="1"/>
      <c r="C1" s="1"/>
      <c r="D1" s="1"/>
      <c r="E1" s="1"/>
      <c r="F1" s="1"/>
      <c r="G1" s="1"/>
      <c r="H1" s="1"/>
      <c r="I1" s="24" t="s">
        <v>140</v>
      </c>
    </row>
    <row r="2" customFormat="false" ht="30" hidden="false" customHeight="true" outlineLevel="0" collapsed="false">
      <c r="A2" s="2" t="str">
        <f aca="false">"⬤ TAB QUALITY "&amp;IF(ISNUMBER('Quality &amp; Audit'!$B$29),IF('Quality &amp; Audit'!$B$29=INT('Quality &amp; Audit'!$B$29),TEXT('Quality &amp; Audit'!$B$29,"0"),TEXT('Quality &amp; Audit'!$B$29,"0.0")),"—")&amp;"/10 · "&amp;IF(ISNUMBER('Quality &amp; Audit'!$B$29),IF('Quality &amp; Audit'!$B$29&gt;=8,"PASS","FAIL"),"UNSCORED")&amp;" (target ≥8, live from the Quality &amp; Audit score cell)"&amp;" · quantity provenance (source + where-from + used-by per row) — provenance-verified quantity rows 113/113; cell completeness+type contract 339/339 · score = min over check…"&amp;" · full audit: Quality &amp; Audit tab"</f>
        <v>⬤ TAB QUALITY 10/10 · PASS (target ≥8, live from the Quality &amp; Audit score cell) · quantity provenance (source + where-from + used-by per row) — provenance-verified quantity rows 113/113; cell completeness+type contract 339/339 · score = min over check… · full audit: Quality &amp; Audit tab</v>
      </c>
      <c r="B2" s="2"/>
      <c r="C2" s="2"/>
      <c r="D2" s="2"/>
      <c r="E2" s="2"/>
      <c r="F2" s="2"/>
      <c r="G2" s="2"/>
      <c r="H2" s="2"/>
    </row>
    <row r="3" customFormat="false" ht="40.5" hidden="false" customHeight="true" outlineLevel="0" collapsed="false">
      <c r="A3" s="3" t="s">
        <v>3146</v>
      </c>
      <c r="B3" s="3"/>
      <c r="C3" s="3"/>
      <c r="D3" s="3"/>
      <c r="E3" s="3"/>
      <c r="F3" s="3"/>
      <c r="G3" s="3"/>
      <c r="H3" s="3"/>
    </row>
    <row r="4" customFormat="false" ht="15" hidden="false" customHeight="false" outlineLevel="0" collapsed="false">
      <c r="A4" s="9" t="s">
        <v>3147</v>
      </c>
      <c r="B4" s="9" t="s">
        <v>160</v>
      </c>
      <c r="C4" s="9" t="s">
        <v>15</v>
      </c>
      <c r="D4" s="9" t="s">
        <v>3148</v>
      </c>
      <c r="E4" s="9" t="s">
        <v>2181</v>
      </c>
      <c r="F4" s="9" t="s">
        <v>3149</v>
      </c>
      <c r="G4" s="9" t="s">
        <v>3150</v>
      </c>
      <c r="H4" s="9" t="s">
        <v>3151</v>
      </c>
      <c r="I4" s="10" t="s">
        <v>20</v>
      </c>
    </row>
    <row r="5" customFormat="false" ht="32.8" hidden="false" customHeight="false" outlineLevel="0" collapsed="false">
      <c r="A5" s="11" t="s">
        <v>3152</v>
      </c>
      <c r="B5" s="80" t="n">
        <v>8</v>
      </c>
      <c r="C5" s="11" t="s">
        <v>163</v>
      </c>
      <c r="D5" s="11" t="s">
        <v>3153</v>
      </c>
      <c r="E5" s="11" t="s">
        <v>3154</v>
      </c>
      <c r="F5" s="15" t="s">
        <v>3155</v>
      </c>
      <c r="G5" s="15" t="s">
        <v>3156</v>
      </c>
      <c r="H5" s="15" t="s">
        <v>3157</v>
      </c>
      <c r="I5" s="16" t="str">
        <f aca="false">IF(AND(LEN(TRIM(A5&amp;""))&gt;0,TRIM(A5&amp;"")&lt;&gt;"—",LEN(TRIM(B5&amp;""))&gt;0,TRIM(B5&amp;"")&lt;&gt;"—",LEN(TRIM(E5&amp;""))&gt;0,TRIM(E5&amp;"")&lt;&gt;"—"),"PASS","⚠ FAIL — "&amp;"a required cell is empty/placeholder or wrong type")</f>
        <v>PASS</v>
      </c>
    </row>
    <row r="6" customFormat="false" ht="32.8" hidden="false" customHeight="false" outlineLevel="0" collapsed="false">
      <c r="A6" s="11" t="s">
        <v>2959</v>
      </c>
      <c r="B6" s="80" t="n">
        <v>90</v>
      </c>
      <c r="C6" s="11" t="s">
        <v>163</v>
      </c>
      <c r="D6" s="11" t="s">
        <v>3153</v>
      </c>
      <c r="E6" s="11" t="s">
        <v>3158</v>
      </c>
      <c r="F6" s="15" t="s">
        <v>3159</v>
      </c>
      <c r="G6" s="15" t="s">
        <v>2960</v>
      </c>
      <c r="H6" s="15" t="s">
        <v>3160</v>
      </c>
      <c r="I6" s="16" t="str">
        <f aca="false">IF(AND(LEN(TRIM(A6&amp;""))&gt;0,TRIM(A6&amp;"")&lt;&gt;"—",LEN(TRIM(B6&amp;""))&gt;0,TRIM(B6&amp;"")&lt;&gt;"—",LEN(TRIM(E6&amp;""))&gt;0,TRIM(E6&amp;"")&lt;&gt;"—"),"PASS","⚠ FAIL — "&amp;"a required cell is empty/placeholder or wrong type")</f>
        <v>PASS</v>
      </c>
    </row>
    <row r="7" customFormat="false" ht="32.8" hidden="false" customHeight="false" outlineLevel="0" collapsed="false">
      <c r="A7" s="11" t="s">
        <v>2940</v>
      </c>
      <c r="B7" s="80" t="n">
        <f aca="false">B6</f>
        <v>90</v>
      </c>
      <c r="C7" s="11" t="s">
        <v>163</v>
      </c>
      <c r="D7" s="11" t="s">
        <v>3153</v>
      </c>
      <c r="E7" s="11" t="s">
        <v>3158</v>
      </c>
      <c r="F7" s="15" t="s">
        <v>3161</v>
      </c>
      <c r="G7" s="15" t="s">
        <v>2941</v>
      </c>
      <c r="H7" s="15" t="s">
        <v>3162</v>
      </c>
      <c r="I7" s="16" t="str">
        <f aca="false">IF(AND(LEN(TRIM(A7&amp;""))&gt;0,TRIM(A7&amp;"")&lt;&gt;"—",LEN(TRIM(B7&amp;""))&gt;0,TRIM(B7&amp;"")&lt;&gt;"—",LEN(TRIM(E7&amp;""))&gt;0,TRIM(E7&amp;"")&lt;&gt;"—"),"PASS","⚠ FAIL — "&amp;"a required cell is empty/placeholder or wrong type")</f>
        <v>PASS</v>
      </c>
    </row>
    <row r="8" customFormat="false" ht="22.35" hidden="false" customHeight="false" outlineLevel="0" collapsed="false">
      <c r="A8" s="11" t="s">
        <v>2944</v>
      </c>
      <c r="B8" s="80" t="n">
        <f aca="false">B7*0.045</f>
        <v>4.05</v>
      </c>
      <c r="C8" s="11" t="s">
        <v>1588</v>
      </c>
      <c r="D8" s="11" t="s">
        <v>3114</v>
      </c>
      <c r="E8" s="11" t="s">
        <v>3158</v>
      </c>
      <c r="F8" s="15" t="s">
        <v>3163</v>
      </c>
      <c r="G8" s="15" t="s">
        <v>2945</v>
      </c>
      <c r="H8" s="15" t="s">
        <v>3164</v>
      </c>
      <c r="I8" s="16" t="str">
        <f aca="false">IF(AND(LEN(TRIM(A8&amp;""))&gt;0,TRIM(A8&amp;"")&lt;&gt;"—",LEN(TRIM(B8&amp;""))&gt;0,TRIM(B8&amp;"")&lt;&gt;"—",LEN(TRIM(E8&amp;""))&gt;0,TRIM(E8&amp;"")&lt;&gt;"—"),"PASS","⚠ FAIL — "&amp;"a required cell is empty/placeholder or wrong type")</f>
        <v>PASS</v>
      </c>
    </row>
    <row r="9" customFormat="false" ht="32.8" hidden="false" customHeight="false" outlineLevel="0" collapsed="false">
      <c r="A9" s="11" t="s">
        <v>2948</v>
      </c>
      <c r="B9" s="80" t="n">
        <v>1</v>
      </c>
      <c r="C9" s="11" t="s">
        <v>2949</v>
      </c>
      <c r="D9" s="11" t="s">
        <v>22</v>
      </c>
      <c r="E9" s="11" t="s">
        <v>3158</v>
      </c>
      <c r="F9" s="15" t="s">
        <v>3165</v>
      </c>
      <c r="G9" s="15" t="s">
        <v>2950</v>
      </c>
      <c r="H9" s="15" t="s">
        <v>3164</v>
      </c>
      <c r="I9" s="16" t="str">
        <f aca="false">IF(AND(LEN(TRIM(A9&amp;""))&gt;0,TRIM(A9&amp;"")&lt;&gt;"—",LEN(TRIM(B9&amp;""))&gt;0,TRIM(B9&amp;"")&lt;&gt;"—",LEN(TRIM(E9&amp;""))&gt;0,TRIM(E9&amp;"")&lt;&gt;"—"),"PASS","⚠ FAIL — "&amp;"a required cell is empty/placeholder or wrong type")</f>
        <v>PASS</v>
      </c>
    </row>
    <row r="10" customFormat="false" ht="32.8" hidden="false" customHeight="false" outlineLevel="0" collapsed="false">
      <c r="A10" s="11" t="s">
        <v>3166</v>
      </c>
      <c r="B10" s="80" t="n">
        <v>3</v>
      </c>
      <c r="C10" s="11" t="s">
        <v>3167</v>
      </c>
      <c r="D10" s="11" t="s">
        <v>3168</v>
      </c>
      <c r="E10" s="11" t="s">
        <v>3154</v>
      </c>
      <c r="F10" s="15" t="s">
        <v>3155</v>
      </c>
      <c r="G10" s="15" t="s">
        <v>3169</v>
      </c>
      <c r="H10" s="15" t="s">
        <v>3170</v>
      </c>
      <c r="I10" s="16" t="str">
        <f aca="false">IF(AND(LEN(TRIM(A10&amp;""))&gt;0,TRIM(A10&amp;"")&lt;&gt;"—",LEN(TRIM(B10&amp;""))&gt;0,TRIM(B10&amp;"")&lt;&gt;"—",LEN(TRIM(E10&amp;""))&gt;0,TRIM(E10&amp;"")&lt;&gt;"—"),"PASS","⚠ FAIL — "&amp;"a required cell is empty/placeholder or wrong type")</f>
        <v>PASS</v>
      </c>
    </row>
    <row r="11" customFormat="false" ht="43.25" hidden="false" customHeight="false" outlineLevel="0" collapsed="false">
      <c r="A11" s="11" t="s">
        <v>3046</v>
      </c>
      <c r="B11" s="80" t="n">
        <v>40</v>
      </c>
      <c r="C11" s="11" t="s">
        <v>27</v>
      </c>
      <c r="D11" s="11" t="s">
        <v>3171</v>
      </c>
      <c r="E11" s="11" t="s">
        <v>3154</v>
      </c>
      <c r="F11" s="15" t="s">
        <v>3172</v>
      </c>
      <c r="G11" s="15" t="s">
        <v>3173</v>
      </c>
      <c r="H11" s="15" t="s">
        <v>3170</v>
      </c>
      <c r="I11" s="16" t="str">
        <f aca="false">IF(AND(LEN(TRIM(A11&amp;""))&gt;0,TRIM(A11&amp;"")&lt;&gt;"—",LEN(TRIM(B11&amp;""))&gt;0,TRIM(B11&amp;"")&lt;&gt;"—",LEN(TRIM(E11&amp;""))&gt;0,TRIM(E11&amp;"")&lt;&gt;"—"),"PASS","⚠ FAIL — "&amp;"a required cell is empty/placeholder or wrong type")</f>
        <v>PASS</v>
      </c>
    </row>
    <row r="12" customFormat="false" ht="22.35" hidden="false" customHeight="false" outlineLevel="0" collapsed="false">
      <c r="A12" s="11" t="s">
        <v>2963</v>
      </c>
      <c r="B12" s="80" t="n">
        <f aca="false">B21*(B22+B24)</f>
        <v>120</v>
      </c>
      <c r="C12" s="11" t="s">
        <v>2964</v>
      </c>
      <c r="D12" s="11" t="s">
        <v>3171</v>
      </c>
      <c r="E12" s="11" t="s">
        <v>3158</v>
      </c>
      <c r="F12" s="15" t="s">
        <v>3174</v>
      </c>
      <c r="G12" s="15" t="s">
        <v>2965</v>
      </c>
      <c r="H12" s="15" t="s">
        <v>3175</v>
      </c>
      <c r="I12" s="16" t="str">
        <f aca="false">IF(AND(LEN(TRIM(A12&amp;""))&gt;0,TRIM(A12&amp;"")&lt;&gt;"—",LEN(TRIM(B12&amp;""))&gt;0,TRIM(B12&amp;"")&lt;&gt;"—",LEN(TRIM(E12&amp;""))&gt;0,TRIM(E12&amp;"")&lt;&gt;"—"),"PASS","⚠ FAIL — "&amp;"a required cell is empty/placeholder or wrong type")</f>
        <v>PASS</v>
      </c>
    </row>
    <row r="13" customFormat="false" ht="32.8" hidden="false" customHeight="false" outlineLevel="0" collapsed="false">
      <c r="A13" s="11" t="s">
        <v>3176</v>
      </c>
      <c r="B13" s="80" t="n">
        <v>10</v>
      </c>
      <c r="C13" s="11" t="s">
        <v>2964</v>
      </c>
      <c r="D13" s="11" t="s">
        <v>3171</v>
      </c>
      <c r="E13" s="11" t="s">
        <v>3154</v>
      </c>
      <c r="F13" s="15" t="s">
        <v>3155</v>
      </c>
      <c r="G13" s="15" t="s">
        <v>3177</v>
      </c>
      <c r="H13" s="15" t="s">
        <v>3178</v>
      </c>
      <c r="I13" s="16" t="str">
        <f aca="false">IF(AND(LEN(TRIM(A13&amp;""))&gt;0,TRIM(A13&amp;"")&lt;&gt;"—",LEN(TRIM(B13&amp;""))&gt;0,TRIM(B13&amp;"")&lt;&gt;"—",LEN(TRIM(E13&amp;""))&gt;0,TRIM(E13&amp;"")&lt;&gt;"—"),"PASS","⚠ FAIL — "&amp;"a required cell is empty/placeholder or wrong type")</f>
        <v>PASS</v>
      </c>
    </row>
    <row r="14" customFormat="false" ht="15" hidden="false" customHeight="false" outlineLevel="0" collapsed="false">
      <c r="A14" s="11" t="s">
        <v>3179</v>
      </c>
      <c r="B14" s="80" t="n">
        <v>1</v>
      </c>
      <c r="C14" s="11"/>
      <c r="D14" s="11" t="s">
        <v>3180</v>
      </c>
      <c r="E14" s="11" t="s">
        <v>3154</v>
      </c>
      <c r="F14" s="15" t="s">
        <v>3155</v>
      </c>
      <c r="G14" s="15" t="s">
        <v>3181</v>
      </c>
      <c r="H14" s="15" t="s">
        <v>3178</v>
      </c>
      <c r="I14" s="16" t="str">
        <f aca="false">IF(AND(LEN(TRIM(A14&amp;""))&gt;0,TRIM(A14&amp;"")&lt;&gt;"—",LEN(TRIM(B14&amp;""))&gt;0,TRIM(B14&amp;"")&lt;&gt;"—",LEN(TRIM(E14&amp;""))&gt;0,TRIM(E14&amp;"")&lt;&gt;"—"),"PASS","⚠ FAIL — "&amp;"a required cell is empty/placeholder or wrong type")</f>
        <v>PASS</v>
      </c>
    </row>
    <row r="15" customFormat="false" ht="22.35" hidden="false" customHeight="false" outlineLevel="0" collapsed="false">
      <c r="A15" s="11" t="s">
        <v>3182</v>
      </c>
      <c r="B15" s="80" t="n">
        <v>11</v>
      </c>
      <c r="C15" s="11" t="s">
        <v>163</v>
      </c>
      <c r="D15" s="11" t="s">
        <v>3153</v>
      </c>
      <c r="E15" s="11" t="s">
        <v>3154</v>
      </c>
      <c r="F15" s="15" t="s">
        <v>3155</v>
      </c>
      <c r="G15" s="15" t="s">
        <v>3183</v>
      </c>
      <c r="H15" s="15" t="s">
        <v>3184</v>
      </c>
      <c r="I15" s="16" t="str">
        <f aca="false">IF(AND(LEN(TRIM(A15&amp;""))&gt;0,TRIM(A15&amp;"")&lt;&gt;"—",LEN(TRIM(B15&amp;""))&gt;0,TRIM(B15&amp;"")&lt;&gt;"—",LEN(TRIM(E15&amp;""))&gt;0,TRIM(E15&amp;"")&lt;&gt;"—"),"PASS","⚠ FAIL — "&amp;"a required cell is empty/placeholder or wrong type")</f>
        <v>PASS</v>
      </c>
    </row>
    <row r="16" customFormat="false" ht="32.8" hidden="false" customHeight="false" outlineLevel="0" collapsed="false">
      <c r="A16" s="11" t="s">
        <v>3185</v>
      </c>
      <c r="B16" s="80" t="n">
        <v>4.2</v>
      </c>
      <c r="C16" s="11" t="s">
        <v>1588</v>
      </c>
      <c r="D16" s="11" t="s">
        <v>3114</v>
      </c>
      <c r="E16" s="11" t="s">
        <v>3154</v>
      </c>
      <c r="F16" s="15" t="s">
        <v>3155</v>
      </c>
      <c r="G16" s="15" t="s">
        <v>3186</v>
      </c>
      <c r="H16" s="15" t="s">
        <v>3187</v>
      </c>
      <c r="I16" s="16" t="str">
        <f aca="false">IF(AND(LEN(TRIM(A16&amp;""))&gt;0,TRIM(A16&amp;"")&lt;&gt;"—",LEN(TRIM(B16&amp;""))&gt;0,TRIM(B16&amp;"")&lt;&gt;"—",LEN(TRIM(E16&amp;""))&gt;0,TRIM(E16&amp;"")&lt;&gt;"—"),"PASS","⚠ FAIL — "&amp;"a required cell is empty/placeholder or wrong type")</f>
        <v>PASS</v>
      </c>
    </row>
    <row r="17" customFormat="false" ht="22.35" hidden="false" customHeight="false" outlineLevel="0" collapsed="false">
      <c r="A17" s="11" t="s">
        <v>3188</v>
      </c>
      <c r="B17" s="80" t="n">
        <v>1</v>
      </c>
      <c r="C17" s="11"/>
      <c r="D17" s="11" t="s">
        <v>3180</v>
      </c>
      <c r="E17" s="11" t="s">
        <v>3154</v>
      </c>
      <c r="F17" s="15" t="s">
        <v>3155</v>
      </c>
      <c r="G17" s="15" t="s">
        <v>3189</v>
      </c>
      <c r="H17" s="15" t="s">
        <v>3187</v>
      </c>
      <c r="I17" s="16" t="str">
        <f aca="false">IF(AND(LEN(TRIM(A17&amp;""))&gt;0,TRIM(A17&amp;"")&lt;&gt;"—",LEN(TRIM(B17&amp;""))&gt;0,TRIM(B17&amp;"")&lt;&gt;"—",LEN(TRIM(E17&amp;""))&gt;0,TRIM(E17&amp;"")&lt;&gt;"—"),"PASS","⚠ FAIL — "&amp;"a required cell is empty/placeholder or wrong type")</f>
        <v>PASS</v>
      </c>
    </row>
    <row r="18" customFormat="false" ht="22.35" hidden="false" customHeight="false" outlineLevel="0" collapsed="false">
      <c r="A18" s="11" t="s">
        <v>2988</v>
      </c>
      <c r="B18" s="80" t="n">
        <v>1.8</v>
      </c>
      <c r="C18" s="11" t="s">
        <v>2964</v>
      </c>
      <c r="D18" s="11" t="s">
        <v>3171</v>
      </c>
      <c r="E18" s="11" t="s">
        <v>3158</v>
      </c>
      <c r="F18" s="15" t="s">
        <v>3190</v>
      </c>
      <c r="G18" s="15" t="s">
        <v>2989</v>
      </c>
      <c r="H18" s="15" t="s">
        <v>3170</v>
      </c>
      <c r="I18" s="16" t="str">
        <f aca="false">IF(AND(LEN(TRIM(A18&amp;""))&gt;0,TRIM(A18&amp;"")&lt;&gt;"—",LEN(TRIM(B18&amp;""))&gt;0,TRIM(B18&amp;"")&lt;&gt;"—",LEN(TRIM(E18&amp;""))&gt;0,TRIM(E18&amp;"")&lt;&gt;"—"),"PASS","⚠ FAIL — "&amp;"a required cell is empty/placeholder or wrong type")</f>
        <v>PASS</v>
      </c>
    </row>
    <row r="19" customFormat="false" ht="22.35" hidden="false" customHeight="false" outlineLevel="0" collapsed="false">
      <c r="A19" s="11" t="s">
        <v>2968</v>
      </c>
      <c r="B19" s="80" t="n">
        <v>1.5</v>
      </c>
      <c r="C19" s="11" t="s">
        <v>2964</v>
      </c>
      <c r="D19" s="11" t="s">
        <v>3171</v>
      </c>
      <c r="E19" s="11" t="s">
        <v>3158</v>
      </c>
      <c r="F19" s="15" t="s">
        <v>3159</v>
      </c>
      <c r="G19" s="15" t="s">
        <v>2969</v>
      </c>
      <c r="H19" s="15" t="s">
        <v>3191</v>
      </c>
      <c r="I19" s="16" t="str">
        <f aca="false">IF(AND(LEN(TRIM(A19&amp;""))&gt;0,TRIM(A19&amp;"")&lt;&gt;"—",LEN(TRIM(B19&amp;""))&gt;0,TRIM(B19&amp;"")&lt;&gt;"—",LEN(TRIM(E19&amp;""))&gt;0,TRIM(E19&amp;"")&lt;&gt;"—"),"PASS","⚠ FAIL — "&amp;"a required cell is empty/placeholder or wrong type")</f>
        <v>PASS</v>
      </c>
    </row>
    <row r="20" customFormat="false" ht="15" hidden="false" customHeight="false" outlineLevel="0" collapsed="false">
      <c r="A20" s="11" t="s">
        <v>3192</v>
      </c>
      <c r="B20" s="80" t="n">
        <v>2</v>
      </c>
      <c r="C20" s="11"/>
      <c r="D20" s="11" t="s">
        <v>3180</v>
      </c>
      <c r="E20" s="11" t="s">
        <v>3154</v>
      </c>
      <c r="F20" s="15" t="s">
        <v>3155</v>
      </c>
      <c r="G20" s="15" t="s">
        <v>3193</v>
      </c>
      <c r="H20" s="15" t="s">
        <v>3191</v>
      </c>
      <c r="I20" s="16" t="str">
        <f aca="false">IF(AND(LEN(TRIM(A20&amp;""))&gt;0,TRIM(A20&amp;"")&lt;&gt;"—",LEN(TRIM(B20&amp;""))&gt;0,TRIM(B20&amp;"")&lt;&gt;"—",LEN(TRIM(E20&amp;""))&gt;0,TRIM(E20&amp;"")&lt;&gt;"—"),"PASS","⚠ FAIL — "&amp;"a required cell is empty/placeholder or wrong type")</f>
        <v>PASS</v>
      </c>
    </row>
    <row r="21" customFormat="false" ht="22.35" hidden="false" customHeight="false" outlineLevel="0" collapsed="false">
      <c r="A21" s="11" t="s">
        <v>3194</v>
      </c>
      <c r="B21" s="80" t="n">
        <v>40</v>
      </c>
      <c r="C21" s="11" t="s">
        <v>2964</v>
      </c>
      <c r="D21" s="11" t="s">
        <v>3171</v>
      </c>
      <c r="E21" s="11" t="s">
        <v>3154</v>
      </c>
      <c r="F21" s="15" t="s">
        <v>3155</v>
      </c>
      <c r="G21" s="15" t="s">
        <v>3195</v>
      </c>
      <c r="H21" s="15" t="s">
        <v>3196</v>
      </c>
      <c r="I21" s="16" t="str">
        <f aca="false">IF(AND(LEN(TRIM(A21&amp;""))&gt;0,TRIM(A21&amp;"")&lt;&gt;"—",LEN(TRIM(B21&amp;""))&gt;0,TRIM(B21&amp;"")&lt;&gt;"—",LEN(TRIM(E21&amp;""))&gt;0,TRIM(E21&amp;"")&lt;&gt;"—"),"PASS","⚠ FAIL — "&amp;"a required cell is empty/placeholder or wrong type")</f>
        <v>PASS</v>
      </c>
    </row>
    <row r="22" customFormat="false" ht="22.35" hidden="false" customHeight="false" outlineLevel="0" collapsed="false">
      <c r="A22" s="11" t="s">
        <v>3197</v>
      </c>
      <c r="B22" s="80" t="n">
        <v>1</v>
      </c>
      <c r="C22" s="11"/>
      <c r="D22" s="11" t="s">
        <v>3180</v>
      </c>
      <c r="E22" s="11" t="s">
        <v>3154</v>
      </c>
      <c r="F22" s="15" t="s">
        <v>3155</v>
      </c>
      <c r="G22" s="15" t="s">
        <v>3198</v>
      </c>
      <c r="H22" s="15" t="s">
        <v>3196</v>
      </c>
      <c r="I22" s="16" t="str">
        <f aca="false">IF(AND(LEN(TRIM(A22&amp;""))&gt;0,TRIM(A22&amp;"")&lt;&gt;"—",LEN(TRIM(B22&amp;""))&gt;0,TRIM(B22&amp;"")&lt;&gt;"—",LEN(TRIM(E22&amp;""))&gt;0,TRIM(E22&amp;"")&lt;&gt;"—"),"PASS","⚠ FAIL — "&amp;"a required cell is empty/placeholder or wrong type")</f>
        <v>PASS</v>
      </c>
    </row>
    <row r="23" customFormat="false" ht="53.7" hidden="false" customHeight="false" outlineLevel="0" collapsed="false">
      <c r="A23" s="11" t="s">
        <v>3050</v>
      </c>
      <c r="B23" s="80" t="n">
        <v>40</v>
      </c>
      <c r="C23" s="11" t="s">
        <v>27</v>
      </c>
      <c r="D23" s="11" t="s">
        <v>3171</v>
      </c>
      <c r="E23" s="11" t="s">
        <v>3154</v>
      </c>
      <c r="F23" s="15" t="s">
        <v>3172</v>
      </c>
      <c r="G23" s="15" t="s">
        <v>3199</v>
      </c>
      <c r="H23" s="15" t="s">
        <v>3200</v>
      </c>
      <c r="I23" s="16" t="str">
        <f aca="false">IF(AND(LEN(TRIM(A23&amp;""))&gt;0,TRIM(A23&amp;"")&lt;&gt;"—",LEN(TRIM(B23&amp;""))&gt;0,TRIM(B23&amp;"")&lt;&gt;"—",LEN(TRIM(E23&amp;""))&gt;0,TRIM(E23&amp;"")&lt;&gt;"—"),"PASS","⚠ FAIL — "&amp;"a required cell is empty/placeholder or wrong type")</f>
        <v>PASS</v>
      </c>
    </row>
    <row r="24" customFormat="false" ht="22.35" hidden="false" customHeight="false" outlineLevel="0" collapsed="false">
      <c r="A24" s="11" t="s">
        <v>3201</v>
      </c>
      <c r="B24" s="80" t="n">
        <v>2</v>
      </c>
      <c r="C24" s="11"/>
      <c r="D24" s="11" t="s">
        <v>3180</v>
      </c>
      <c r="E24" s="11" t="s">
        <v>3154</v>
      </c>
      <c r="F24" s="15" t="s">
        <v>3155</v>
      </c>
      <c r="G24" s="15" t="s">
        <v>3202</v>
      </c>
      <c r="H24" s="15" t="s">
        <v>3203</v>
      </c>
      <c r="I24" s="16" t="str">
        <f aca="false">IF(AND(LEN(TRIM(A24&amp;""))&gt;0,TRIM(A24&amp;"")&lt;&gt;"—",LEN(TRIM(B24&amp;""))&gt;0,TRIM(B24&amp;"")&lt;&gt;"—",LEN(TRIM(E24&amp;""))&gt;0,TRIM(E24&amp;"")&lt;&gt;"—"),"PASS","⚠ FAIL — "&amp;"a required cell is empty/placeholder or wrong type")</f>
        <v>PASS</v>
      </c>
    </row>
    <row r="25" customFormat="false" ht="53.7" hidden="false" customHeight="false" outlineLevel="0" collapsed="false">
      <c r="A25" s="11" t="s">
        <v>3204</v>
      </c>
      <c r="B25" s="80" t="n">
        <v>45</v>
      </c>
      <c r="C25" s="11" t="s">
        <v>163</v>
      </c>
      <c r="D25" s="11" t="s">
        <v>3153</v>
      </c>
      <c r="E25" s="11" t="s">
        <v>3154</v>
      </c>
      <c r="F25" s="15" t="s">
        <v>3155</v>
      </c>
      <c r="G25" s="15" t="s">
        <v>3205</v>
      </c>
      <c r="H25" s="15" t="s">
        <v>3206</v>
      </c>
      <c r="I25" s="16" t="str">
        <f aca="false">IF(AND(LEN(TRIM(A25&amp;""))&gt;0,TRIM(A25&amp;"")&lt;&gt;"—",LEN(TRIM(B25&amp;""))&gt;0,TRIM(B25&amp;"")&lt;&gt;"—",LEN(TRIM(E25&amp;""))&gt;0,TRIM(E25&amp;"")&lt;&gt;"—"),"PASS","⚠ FAIL — "&amp;"a required cell is empty/placeholder or wrong type")</f>
        <v>PASS</v>
      </c>
    </row>
    <row r="26" customFormat="false" ht="43.25" hidden="false" customHeight="false" outlineLevel="0" collapsed="false">
      <c r="A26" s="11" t="s">
        <v>3207</v>
      </c>
      <c r="B26" s="80" t="n">
        <v>7.5</v>
      </c>
      <c r="C26" s="11" t="s">
        <v>1588</v>
      </c>
      <c r="D26" s="11" t="s">
        <v>3114</v>
      </c>
      <c r="E26" s="11" t="s">
        <v>3154</v>
      </c>
      <c r="F26" s="15" t="s">
        <v>3208</v>
      </c>
      <c r="G26" s="15" t="s">
        <v>3209</v>
      </c>
      <c r="H26" s="15" t="s">
        <v>3210</v>
      </c>
      <c r="I26" s="16" t="str">
        <f aca="false">IF(AND(LEN(TRIM(A26&amp;""))&gt;0,TRIM(A26&amp;"")&lt;&gt;"—",LEN(TRIM(B26&amp;""))&gt;0,TRIM(B26&amp;"")&lt;&gt;"—",LEN(TRIM(E26&amp;""))&gt;0,TRIM(E26&amp;"")&lt;&gt;"—"),"PASS","⚠ FAIL — "&amp;"a required cell is empty/placeholder or wrong type")</f>
        <v>PASS</v>
      </c>
    </row>
    <row r="27" customFormat="false" ht="53.7" hidden="false" customHeight="false" outlineLevel="0" collapsed="false">
      <c r="A27" s="11" t="s">
        <v>3211</v>
      </c>
      <c r="B27" s="80" t="n">
        <v>2</v>
      </c>
      <c r="C27" s="11"/>
      <c r="D27" s="11" t="s">
        <v>3180</v>
      </c>
      <c r="E27" s="11" t="s">
        <v>3154</v>
      </c>
      <c r="F27" s="15" t="s">
        <v>3155</v>
      </c>
      <c r="G27" s="15" t="s">
        <v>3212</v>
      </c>
      <c r="H27" s="15" t="s">
        <v>3213</v>
      </c>
      <c r="I27" s="16" t="str">
        <f aca="false">IF(AND(LEN(TRIM(A27&amp;""))&gt;0,TRIM(A27&amp;"")&lt;&gt;"—",LEN(TRIM(B27&amp;""))&gt;0,TRIM(B27&amp;"")&lt;&gt;"—",LEN(TRIM(E27&amp;""))&gt;0,TRIM(E27&amp;"")&lt;&gt;"—"),"PASS","⚠ FAIL — "&amp;"a required cell is empty/placeholder or wrong type")</f>
        <v>PASS</v>
      </c>
    </row>
    <row r="28" customFormat="false" ht="32.8" hidden="false" customHeight="false" outlineLevel="0" collapsed="false">
      <c r="A28" s="11" t="s">
        <v>2972</v>
      </c>
      <c r="B28" s="80" t="n">
        <f aca="false">B25*B27</f>
        <v>90</v>
      </c>
      <c r="C28" s="11" t="s">
        <v>163</v>
      </c>
      <c r="D28" s="11" t="s">
        <v>3153</v>
      </c>
      <c r="E28" s="11" t="s">
        <v>3158</v>
      </c>
      <c r="F28" s="15" t="s">
        <v>3214</v>
      </c>
      <c r="G28" s="15" t="s">
        <v>2973</v>
      </c>
      <c r="H28" s="15" t="s">
        <v>3215</v>
      </c>
      <c r="I28" s="16" t="str">
        <f aca="false">IF(AND(LEN(TRIM(A28&amp;""))&gt;0,TRIM(A28&amp;"")&lt;&gt;"—",LEN(TRIM(B28&amp;""))&gt;0,TRIM(B28&amp;"")&lt;&gt;"—",LEN(TRIM(E28&amp;""))&gt;0,TRIM(E28&amp;"")&lt;&gt;"—"),"PASS","⚠ FAIL — "&amp;"a required cell is empty/placeholder or wrong type")</f>
        <v>PASS</v>
      </c>
    </row>
    <row r="29" customFormat="false" ht="22.35" hidden="false" customHeight="false" outlineLevel="0" collapsed="false">
      <c r="A29" s="11" t="s">
        <v>3216</v>
      </c>
      <c r="B29" s="80" t="n">
        <v>0.04</v>
      </c>
      <c r="C29" s="11" t="s">
        <v>163</v>
      </c>
      <c r="D29" s="11" t="s">
        <v>3153</v>
      </c>
      <c r="E29" s="11" t="s">
        <v>3154</v>
      </c>
      <c r="F29" s="15" t="s">
        <v>3155</v>
      </c>
      <c r="G29" s="15" t="s">
        <v>3217</v>
      </c>
      <c r="H29" s="15" t="s">
        <v>3170</v>
      </c>
      <c r="I29" s="16" t="str">
        <f aca="false">IF(AND(LEN(TRIM(A29&amp;""))&gt;0,TRIM(A29&amp;"")&lt;&gt;"—",LEN(TRIM(B29&amp;""))&gt;0,TRIM(B29&amp;"")&lt;&gt;"—",LEN(TRIM(E29&amp;""))&gt;0,TRIM(E29&amp;"")&lt;&gt;"—"),"PASS","⚠ FAIL — "&amp;"a required cell is empty/placeholder or wrong type")</f>
        <v>PASS</v>
      </c>
    </row>
    <row r="30" customFormat="false" ht="22.35" hidden="false" customHeight="false" outlineLevel="0" collapsed="false">
      <c r="A30" s="11" t="s">
        <v>3218</v>
      </c>
      <c r="B30" s="80" t="n">
        <v>0.04</v>
      </c>
      <c r="C30" s="11" t="s">
        <v>1588</v>
      </c>
      <c r="D30" s="11" t="s">
        <v>3114</v>
      </c>
      <c r="E30" s="11" t="s">
        <v>3154</v>
      </c>
      <c r="F30" s="15" t="s">
        <v>3155</v>
      </c>
      <c r="G30" s="15" t="s">
        <v>3219</v>
      </c>
      <c r="H30" s="15" t="s">
        <v>3170</v>
      </c>
      <c r="I30" s="16" t="str">
        <f aca="false">IF(AND(LEN(TRIM(A30&amp;""))&gt;0,TRIM(A30&amp;"")&lt;&gt;"—",LEN(TRIM(B30&amp;""))&gt;0,TRIM(B30&amp;"")&lt;&gt;"—",LEN(TRIM(E30&amp;""))&gt;0,TRIM(E30&amp;"")&lt;&gt;"—"),"PASS","⚠ FAIL — "&amp;"a required cell is empty/placeholder or wrong type")</f>
        <v>PASS</v>
      </c>
    </row>
    <row r="31" customFormat="false" ht="22.35" hidden="false" customHeight="false" outlineLevel="0" collapsed="false">
      <c r="A31" s="11" t="s">
        <v>3220</v>
      </c>
      <c r="B31" s="80" t="n">
        <v>2</v>
      </c>
      <c r="C31" s="11"/>
      <c r="D31" s="11" t="s">
        <v>3180</v>
      </c>
      <c r="E31" s="11" t="s">
        <v>3154</v>
      </c>
      <c r="F31" s="15" t="s">
        <v>3155</v>
      </c>
      <c r="G31" s="15" t="s">
        <v>3221</v>
      </c>
      <c r="H31" s="15" t="s">
        <v>3170</v>
      </c>
      <c r="I31" s="16" t="str">
        <f aca="false">IF(AND(LEN(TRIM(A31&amp;""))&gt;0,TRIM(A31&amp;"")&lt;&gt;"—",LEN(TRIM(B31&amp;""))&gt;0,TRIM(B31&amp;"")&lt;&gt;"—",LEN(TRIM(E31&amp;""))&gt;0,TRIM(E31&amp;"")&lt;&gt;"—"),"PASS","⚠ FAIL — "&amp;"a required cell is empty/placeholder or wrong type")</f>
        <v>PASS</v>
      </c>
    </row>
    <row r="32" customFormat="false" ht="22.35" hidden="false" customHeight="false" outlineLevel="0" collapsed="false">
      <c r="A32" s="11" t="s">
        <v>3222</v>
      </c>
      <c r="B32" s="80" t="n">
        <v>0.04</v>
      </c>
      <c r="C32" s="11" t="s">
        <v>163</v>
      </c>
      <c r="D32" s="11" t="s">
        <v>3153</v>
      </c>
      <c r="E32" s="11" t="s">
        <v>3154</v>
      </c>
      <c r="F32" s="15" t="s">
        <v>3155</v>
      </c>
      <c r="G32" s="15" t="s">
        <v>3223</v>
      </c>
      <c r="H32" s="15" t="s">
        <v>3170</v>
      </c>
      <c r="I32" s="16" t="str">
        <f aca="false">IF(AND(LEN(TRIM(A32&amp;""))&gt;0,TRIM(A32&amp;"")&lt;&gt;"—",LEN(TRIM(B32&amp;""))&gt;0,TRIM(B32&amp;"")&lt;&gt;"—",LEN(TRIM(E32&amp;""))&gt;0,TRIM(E32&amp;"")&lt;&gt;"—"),"PASS","⚠ FAIL — "&amp;"a required cell is empty/placeholder or wrong type")</f>
        <v>PASS</v>
      </c>
    </row>
    <row r="33" customFormat="false" ht="22.35" hidden="false" customHeight="false" outlineLevel="0" collapsed="false">
      <c r="A33" s="11" t="s">
        <v>3224</v>
      </c>
      <c r="B33" s="80" t="n">
        <v>0.04</v>
      </c>
      <c r="C33" s="11" t="s">
        <v>1588</v>
      </c>
      <c r="D33" s="11" t="s">
        <v>3114</v>
      </c>
      <c r="E33" s="11" t="s">
        <v>3154</v>
      </c>
      <c r="F33" s="15" t="s">
        <v>3155</v>
      </c>
      <c r="G33" s="15" t="s">
        <v>3225</v>
      </c>
      <c r="H33" s="15" t="s">
        <v>3170</v>
      </c>
      <c r="I33" s="16" t="str">
        <f aca="false">IF(AND(LEN(TRIM(A33&amp;""))&gt;0,TRIM(A33&amp;"")&lt;&gt;"—",LEN(TRIM(B33&amp;""))&gt;0,TRIM(B33&amp;"")&lt;&gt;"—",LEN(TRIM(E33&amp;""))&gt;0,TRIM(E33&amp;"")&lt;&gt;"—"),"PASS","⚠ FAIL — "&amp;"a required cell is empty/placeholder or wrong type")</f>
        <v>PASS</v>
      </c>
    </row>
    <row r="34" customFormat="false" ht="22.35" hidden="false" customHeight="false" outlineLevel="0" collapsed="false">
      <c r="A34" s="11" t="s">
        <v>3226</v>
      </c>
      <c r="B34" s="80" t="n">
        <v>2</v>
      </c>
      <c r="C34" s="11"/>
      <c r="D34" s="11" t="s">
        <v>3180</v>
      </c>
      <c r="E34" s="11" t="s">
        <v>3154</v>
      </c>
      <c r="F34" s="15" t="s">
        <v>3155</v>
      </c>
      <c r="G34" s="15" t="s">
        <v>3227</v>
      </c>
      <c r="H34" s="15" t="s">
        <v>3170</v>
      </c>
      <c r="I34" s="16" t="str">
        <f aca="false">IF(AND(LEN(TRIM(A34&amp;""))&gt;0,TRIM(A34&amp;"")&lt;&gt;"—",LEN(TRIM(B34&amp;""))&gt;0,TRIM(B34&amp;"")&lt;&gt;"—",LEN(TRIM(E34&amp;""))&gt;0,TRIM(E34&amp;"")&lt;&gt;"—"),"PASS","⚠ FAIL — "&amp;"a required cell is empty/placeholder or wrong type")</f>
        <v>PASS</v>
      </c>
    </row>
    <row r="35" customFormat="false" ht="22.35" hidden="false" customHeight="false" outlineLevel="0" collapsed="false">
      <c r="A35" s="11" t="s">
        <v>3228</v>
      </c>
      <c r="B35" s="80" t="n">
        <v>1</v>
      </c>
      <c r="C35" s="11" t="s">
        <v>2964</v>
      </c>
      <c r="D35" s="11" t="s">
        <v>3171</v>
      </c>
      <c r="E35" s="11" t="s">
        <v>3154</v>
      </c>
      <c r="F35" s="15" t="s">
        <v>3155</v>
      </c>
      <c r="G35" s="15" t="s">
        <v>3229</v>
      </c>
      <c r="H35" s="15" t="s">
        <v>3230</v>
      </c>
      <c r="I35" s="16" t="str">
        <f aca="false">IF(AND(LEN(TRIM(A35&amp;""))&gt;0,TRIM(A35&amp;"")&lt;&gt;"—",LEN(TRIM(B35&amp;""))&gt;0,TRIM(B35&amp;"")&lt;&gt;"—",LEN(TRIM(E35&amp;""))&gt;0,TRIM(E35&amp;"")&lt;&gt;"—"),"PASS","⚠ FAIL — "&amp;"a required cell is empty/placeholder or wrong type")</f>
        <v>PASS</v>
      </c>
    </row>
    <row r="36" customFormat="false" ht="15" hidden="false" customHeight="false" outlineLevel="0" collapsed="false">
      <c r="A36" s="11" t="s">
        <v>3231</v>
      </c>
      <c r="B36" s="80" t="n">
        <v>8</v>
      </c>
      <c r="C36" s="11"/>
      <c r="D36" s="11" t="s">
        <v>3180</v>
      </c>
      <c r="E36" s="11" t="s">
        <v>3154</v>
      </c>
      <c r="F36" s="15" t="s">
        <v>3155</v>
      </c>
      <c r="G36" s="15" t="s">
        <v>3232</v>
      </c>
      <c r="H36" s="15" t="s">
        <v>3230</v>
      </c>
      <c r="I36" s="16" t="str">
        <f aca="false">IF(AND(LEN(TRIM(A36&amp;""))&gt;0,TRIM(A36&amp;"")&lt;&gt;"—",LEN(TRIM(B36&amp;""))&gt;0,TRIM(B36&amp;"")&lt;&gt;"—",LEN(TRIM(E36&amp;""))&gt;0,TRIM(E36&amp;"")&lt;&gt;"—"),"PASS","⚠ FAIL — "&amp;"a required cell is empty/placeholder or wrong type")</f>
        <v>PASS</v>
      </c>
    </row>
    <row r="37" customFormat="false" ht="53.7" hidden="false" customHeight="false" outlineLevel="0" collapsed="false">
      <c r="A37" s="11" t="s">
        <v>3233</v>
      </c>
      <c r="B37" s="80" t="n">
        <v>25</v>
      </c>
      <c r="C37" s="11" t="s">
        <v>163</v>
      </c>
      <c r="D37" s="11" t="s">
        <v>3153</v>
      </c>
      <c r="E37" s="11" t="s">
        <v>3154</v>
      </c>
      <c r="F37" s="15" t="s">
        <v>3155</v>
      </c>
      <c r="G37" s="15" t="s">
        <v>3234</v>
      </c>
      <c r="H37" s="15" t="s">
        <v>3235</v>
      </c>
      <c r="I37" s="16" t="str">
        <f aca="false">IF(AND(LEN(TRIM(A37&amp;""))&gt;0,TRIM(A37&amp;"")&lt;&gt;"—",LEN(TRIM(B37&amp;""))&gt;0,TRIM(B37&amp;"")&lt;&gt;"—",LEN(TRIM(E37&amp;""))&gt;0,TRIM(E37&amp;"")&lt;&gt;"—"),"PASS","⚠ FAIL — "&amp;"a required cell is empty/placeholder or wrong type")</f>
        <v>PASS</v>
      </c>
    </row>
    <row r="38" customFormat="false" ht="22.35" hidden="false" customHeight="false" outlineLevel="0" collapsed="false">
      <c r="A38" s="11" t="s">
        <v>3236</v>
      </c>
      <c r="B38" s="80" t="n">
        <v>1</v>
      </c>
      <c r="C38" s="11"/>
      <c r="D38" s="11" t="s">
        <v>3180</v>
      </c>
      <c r="E38" s="11" t="s">
        <v>3154</v>
      </c>
      <c r="F38" s="15" t="s">
        <v>3155</v>
      </c>
      <c r="G38" s="15" t="s">
        <v>3237</v>
      </c>
      <c r="H38" s="15" t="s">
        <v>3238</v>
      </c>
      <c r="I38" s="16" t="str">
        <f aca="false">IF(AND(LEN(TRIM(A38&amp;""))&gt;0,TRIM(A38&amp;"")&lt;&gt;"—",LEN(TRIM(B38&amp;""))&gt;0,TRIM(B38&amp;"")&lt;&gt;"—",LEN(TRIM(E38&amp;""))&gt;0,TRIM(E38&amp;"")&lt;&gt;"—"),"PASS","⚠ FAIL — "&amp;"a required cell is empty/placeholder or wrong type")</f>
        <v>PASS</v>
      </c>
    </row>
    <row r="39" customFormat="false" ht="43.25" hidden="false" customHeight="false" outlineLevel="0" collapsed="false">
      <c r="A39" s="11" t="s">
        <v>3003</v>
      </c>
      <c r="B39" s="80" t="n">
        <v>5</v>
      </c>
      <c r="C39" s="11" t="s">
        <v>27</v>
      </c>
      <c r="D39" s="11" t="s">
        <v>3171</v>
      </c>
      <c r="E39" s="11" t="s">
        <v>3154</v>
      </c>
      <c r="F39" s="15" t="s">
        <v>3239</v>
      </c>
      <c r="G39" s="15" t="s">
        <v>3240</v>
      </c>
      <c r="H39" s="15" t="s">
        <v>3241</v>
      </c>
      <c r="I39" s="16" t="str">
        <f aca="false">IF(AND(LEN(TRIM(A39&amp;""))&gt;0,TRIM(A39&amp;"")&lt;&gt;"—",LEN(TRIM(B39&amp;""))&gt;0,TRIM(B39&amp;"")&lt;&gt;"—",LEN(TRIM(E39&amp;""))&gt;0,TRIM(E39&amp;"")&lt;&gt;"—"),"PASS","⚠ FAIL — "&amp;"a required cell is empty/placeholder or wrong type")</f>
        <v>PASS</v>
      </c>
    </row>
    <row r="40" customFormat="false" ht="15" hidden="false" customHeight="false" outlineLevel="0" collapsed="false">
      <c r="A40" s="11" t="s">
        <v>3242</v>
      </c>
      <c r="B40" s="80" t="n">
        <v>2</v>
      </c>
      <c r="C40" s="11"/>
      <c r="D40" s="11" t="s">
        <v>3180</v>
      </c>
      <c r="E40" s="11" t="s">
        <v>3154</v>
      </c>
      <c r="F40" s="15" t="s">
        <v>3155</v>
      </c>
      <c r="G40" s="15" t="s">
        <v>3243</v>
      </c>
      <c r="H40" s="15" t="s">
        <v>3241</v>
      </c>
      <c r="I40" s="16" t="str">
        <f aca="false">IF(AND(LEN(TRIM(A40&amp;""))&gt;0,TRIM(A40&amp;"")&lt;&gt;"—",LEN(TRIM(B40&amp;""))&gt;0,TRIM(B40&amp;"")&lt;&gt;"—",LEN(TRIM(E40&amp;""))&gt;0,TRIM(E40&amp;"")&lt;&gt;"—"),"PASS","⚠ FAIL — "&amp;"a required cell is empty/placeholder or wrong type")</f>
        <v>PASS</v>
      </c>
    </row>
    <row r="41" customFormat="false" ht="32.8" hidden="false" customHeight="false" outlineLevel="0" collapsed="false">
      <c r="A41" s="11" t="s">
        <v>3244</v>
      </c>
      <c r="B41" s="80" t="n">
        <v>45</v>
      </c>
      <c r="C41" s="11" t="s">
        <v>163</v>
      </c>
      <c r="D41" s="11" t="s">
        <v>3153</v>
      </c>
      <c r="E41" s="11" t="s">
        <v>3154</v>
      </c>
      <c r="F41" s="15" t="s">
        <v>3155</v>
      </c>
      <c r="G41" s="15" t="s">
        <v>3245</v>
      </c>
      <c r="H41" s="15" t="s">
        <v>3246</v>
      </c>
      <c r="I41" s="16" t="str">
        <f aca="false">IF(AND(LEN(TRIM(A41&amp;""))&gt;0,TRIM(A41&amp;"")&lt;&gt;"—",LEN(TRIM(B41&amp;""))&gt;0,TRIM(B41&amp;"")&lt;&gt;"—",LEN(TRIM(E41&amp;""))&gt;0,TRIM(E41&amp;"")&lt;&gt;"—"),"PASS","⚠ FAIL — "&amp;"a required cell is empty/placeholder or wrong type")</f>
        <v>PASS</v>
      </c>
    </row>
    <row r="42" customFormat="false" ht="22.35" hidden="false" customHeight="false" outlineLevel="0" collapsed="false">
      <c r="A42" s="11" t="s">
        <v>3247</v>
      </c>
      <c r="B42" s="80" t="n">
        <v>2</v>
      </c>
      <c r="C42" s="11"/>
      <c r="D42" s="11" t="s">
        <v>3180</v>
      </c>
      <c r="E42" s="11" t="s">
        <v>3154</v>
      </c>
      <c r="F42" s="15" t="s">
        <v>3155</v>
      </c>
      <c r="G42" s="15" t="s">
        <v>3248</v>
      </c>
      <c r="H42" s="15" t="s">
        <v>3249</v>
      </c>
      <c r="I42" s="16" t="str">
        <f aca="false">IF(AND(LEN(TRIM(A42&amp;""))&gt;0,TRIM(A42&amp;"")&lt;&gt;"—",LEN(TRIM(B42&amp;""))&gt;0,TRIM(B42&amp;"")&lt;&gt;"—",LEN(TRIM(E42&amp;""))&gt;0,TRIM(E42&amp;"")&lt;&gt;"—"),"PASS","⚠ FAIL — "&amp;"a required cell is empty/placeholder or wrong type")</f>
        <v>PASS</v>
      </c>
    </row>
    <row r="43" customFormat="false" ht="22.35" hidden="false" customHeight="false" outlineLevel="0" collapsed="false">
      <c r="A43" s="11" t="s">
        <v>3250</v>
      </c>
      <c r="B43" s="80" t="n">
        <v>80</v>
      </c>
      <c r="C43" s="11" t="s">
        <v>163</v>
      </c>
      <c r="D43" s="11" t="s">
        <v>3153</v>
      </c>
      <c r="E43" s="11" t="s">
        <v>3154</v>
      </c>
      <c r="F43" s="15" t="s">
        <v>3155</v>
      </c>
      <c r="G43" s="15" t="s">
        <v>3251</v>
      </c>
      <c r="H43" s="15" t="s">
        <v>3252</v>
      </c>
      <c r="I43" s="16" t="str">
        <f aca="false">IF(AND(LEN(TRIM(A43&amp;""))&gt;0,TRIM(A43&amp;"")&lt;&gt;"—",LEN(TRIM(B43&amp;""))&gt;0,TRIM(B43&amp;"")&lt;&gt;"—",LEN(TRIM(E43&amp;""))&gt;0,TRIM(E43&amp;"")&lt;&gt;"—"),"PASS","⚠ FAIL — "&amp;"a required cell is empty/placeholder or wrong type")</f>
        <v>PASS</v>
      </c>
    </row>
    <row r="44" customFormat="false" ht="15" hidden="false" customHeight="false" outlineLevel="0" collapsed="false">
      <c r="A44" s="11" t="s">
        <v>3253</v>
      </c>
      <c r="B44" s="80" t="n">
        <v>2</v>
      </c>
      <c r="C44" s="11"/>
      <c r="D44" s="11" t="s">
        <v>3180</v>
      </c>
      <c r="E44" s="11" t="s">
        <v>3154</v>
      </c>
      <c r="F44" s="15" t="s">
        <v>3155</v>
      </c>
      <c r="G44" s="15" t="s">
        <v>3254</v>
      </c>
      <c r="H44" s="15" t="s">
        <v>3252</v>
      </c>
      <c r="I44" s="16" t="str">
        <f aca="false">IF(AND(LEN(TRIM(A44&amp;""))&gt;0,TRIM(A44&amp;"")&lt;&gt;"—",LEN(TRIM(B44&amp;""))&gt;0,TRIM(B44&amp;"")&lt;&gt;"—",LEN(TRIM(E44&amp;""))&gt;0,TRIM(E44&amp;"")&lt;&gt;"—"),"PASS","⚠ FAIL — "&amp;"a required cell is empty/placeholder or wrong type")</f>
        <v>PASS</v>
      </c>
    </row>
    <row r="45" customFormat="false" ht="32.8" hidden="false" customHeight="false" outlineLevel="0" collapsed="false">
      <c r="A45" s="11" t="s">
        <v>3255</v>
      </c>
      <c r="B45" s="80" t="n">
        <v>6000</v>
      </c>
      <c r="C45" s="11"/>
      <c r="D45" s="11" t="s">
        <v>3180</v>
      </c>
      <c r="E45" s="11" t="s">
        <v>3154</v>
      </c>
      <c r="F45" s="15" t="s">
        <v>3155</v>
      </c>
      <c r="G45" s="15" t="s">
        <v>3256</v>
      </c>
      <c r="H45" s="15" t="s">
        <v>3170</v>
      </c>
      <c r="I45" s="16" t="str">
        <f aca="false">IF(AND(LEN(TRIM(A45&amp;""))&gt;0,TRIM(A45&amp;"")&lt;&gt;"—",LEN(TRIM(B45&amp;""))&gt;0,TRIM(B45&amp;"")&lt;&gt;"—",LEN(TRIM(E45&amp;""))&gt;0,TRIM(E45&amp;"")&lt;&gt;"—"),"PASS","⚠ FAIL — "&amp;"a required cell is empty/placeholder or wrong type")</f>
        <v>PASS</v>
      </c>
    </row>
    <row r="46" customFormat="false" ht="189.55" hidden="false" customHeight="false" outlineLevel="0" collapsed="false">
      <c r="A46" s="11" t="s">
        <v>3257</v>
      </c>
      <c r="B46" s="80" t="n">
        <v>200</v>
      </c>
      <c r="C46" s="11"/>
      <c r="D46" s="11" t="s">
        <v>3180</v>
      </c>
      <c r="E46" s="11" t="s">
        <v>3154</v>
      </c>
      <c r="F46" s="15" t="s">
        <v>3155</v>
      </c>
      <c r="G46" s="15" t="s">
        <v>3258</v>
      </c>
      <c r="H46" s="15" t="s">
        <v>3259</v>
      </c>
      <c r="I46" s="16" t="str">
        <f aca="false">IF(AND(LEN(TRIM(A46&amp;""))&gt;0,TRIM(A46&amp;"")&lt;&gt;"—",LEN(TRIM(B46&amp;""))&gt;0,TRIM(B46&amp;"")&lt;&gt;"—",LEN(TRIM(E46&amp;""))&gt;0,TRIM(E46&amp;"")&lt;&gt;"—"),"PASS","⚠ FAIL — "&amp;"a required cell is empty/placeholder or wrong type")</f>
        <v>PASS</v>
      </c>
    </row>
    <row r="47" customFormat="false" ht="32.8" hidden="false" customHeight="false" outlineLevel="0" collapsed="false">
      <c r="A47" s="11" t="s">
        <v>3260</v>
      </c>
      <c r="B47" s="80" t="n">
        <v>2</v>
      </c>
      <c r="C47" s="11"/>
      <c r="D47" s="11" t="s">
        <v>3180</v>
      </c>
      <c r="E47" s="11" t="s">
        <v>3154</v>
      </c>
      <c r="F47" s="15" t="s">
        <v>3155</v>
      </c>
      <c r="G47" s="15" t="s">
        <v>3261</v>
      </c>
      <c r="H47" s="15" t="s">
        <v>3262</v>
      </c>
      <c r="I47" s="16" t="str">
        <f aca="false">IF(AND(LEN(TRIM(A47&amp;""))&gt;0,TRIM(A47&amp;"")&lt;&gt;"—",LEN(TRIM(B47&amp;""))&gt;0,TRIM(B47&amp;"")&lt;&gt;"—",LEN(TRIM(E47&amp;""))&gt;0,TRIM(E47&amp;"")&lt;&gt;"—"),"PASS","⚠ FAIL — "&amp;"a required cell is empty/placeholder or wrong type")</f>
        <v>PASS</v>
      </c>
    </row>
    <row r="48" customFormat="false" ht="22.35" hidden="false" customHeight="false" outlineLevel="0" collapsed="false">
      <c r="A48" s="11" t="s">
        <v>3262</v>
      </c>
      <c r="B48" s="80" t="n">
        <f aca="false">B47*10</f>
        <v>20</v>
      </c>
      <c r="C48" s="11"/>
      <c r="D48" s="11" t="s">
        <v>3180</v>
      </c>
      <c r="E48" s="11" t="s">
        <v>3154</v>
      </c>
      <c r="F48" s="15" t="s">
        <v>3155</v>
      </c>
      <c r="G48" s="15" t="s">
        <v>3263</v>
      </c>
      <c r="H48" s="15" t="s">
        <v>3170</v>
      </c>
      <c r="I48" s="16" t="str">
        <f aca="false">IF(AND(LEN(TRIM(A48&amp;""))&gt;0,TRIM(A48&amp;"")&lt;&gt;"—",LEN(TRIM(B48&amp;""))&gt;0,TRIM(B48&amp;"")&lt;&gt;"—",LEN(TRIM(E48&amp;""))&gt;0,TRIM(E48&amp;"")&lt;&gt;"—"),"PASS","⚠ FAIL — "&amp;"a required cell is empty/placeholder or wrong type")</f>
        <v>PASS</v>
      </c>
    </row>
    <row r="49" customFormat="false" ht="22.35" hidden="false" customHeight="false" outlineLevel="0" collapsed="false">
      <c r="A49" s="11" t="s">
        <v>3264</v>
      </c>
      <c r="B49" s="80" t="n">
        <v>5</v>
      </c>
      <c r="C49" s="11"/>
      <c r="D49" s="11" t="s">
        <v>3180</v>
      </c>
      <c r="E49" s="11" t="s">
        <v>3154</v>
      </c>
      <c r="F49" s="15" t="s">
        <v>3155</v>
      </c>
      <c r="G49" s="15" t="s">
        <v>3265</v>
      </c>
      <c r="H49" s="15" t="s">
        <v>3170</v>
      </c>
      <c r="I49" s="16" t="str">
        <f aca="false">IF(AND(LEN(TRIM(A49&amp;""))&gt;0,TRIM(A49&amp;"")&lt;&gt;"—",LEN(TRIM(B49&amp;""))&gt;0,TRIM(B49&amp;"")&lt;&gt;"—",LEN(TRIM(E49&amp;""))&gt;0,TRIM(E49&amp;"")&lt;&gt;"—"),"PASS","⚠ FAIL — "&amp;"a required cell is empty/placeholder or wrong type")</f>
        <v>PASS</v>
      </c>
    </row>
    <row r="50" customFormat="false" ht="32.8" hidden="false" customHeight="false" outlineLevel="0" collapsed="false">
      <c r="A50" s="11" t="s">
        <v>3266</v>
      </c>
      <c r="B50" s="80" t="n">
        <v>2</v>
      </c>
      <c r="C50" s="11"/>
      <c r="D50" s="11" t="s">
        <v>3180</v>
      </c>
      <c r="E50" s="11" t="s">
        <v>3154</v>
      </c>
      <c r="F50" s="15" t="s">
        <v>3155</v>
      </c>
      <c r="G50" s="15" t="s">
        <v>3267</v>
      </c>
      <c r="H50" s="15" t="s">
        <v>3170</v>
      </c>
      <c r="I50" s="16" t="str">
        <f aca="false">IF(AND(LEN(TRIM(A50&amp;""))&gt;0,TRIM(A50&amp;"")&lt;&gt;"—",LEN(TRIM(B50&amp;""))&gt;0,TRIM(B50&amp;"")&lt;&gt;"—",LEN(TRIM(E50&amp;""))&gt;0,TRIM(E50&amp;"")&lt;&gt;"—"),"PASS","⚠ FAIL — "&amp;"a required cell is empty/placeholder or wrong type")</f>
        <v>PASS</v>
      </c>
    </row>
    <row r="51" customFormat="false" ht="22.35" hidden="false" customHeight="false" outlineLevel="0" collapsed="false">
      <c r="A51" s="11" t="s">
        <v>3268</v>
      </c>
      <c r="B51" s="80" t="n">
        <v>30</v>
      </c>
      <c r="C51" s="11"/>
      <c r="D51" s="11" t="s">
        <v>3180</v>
      </c>
      <c r="E51" s="11" t="s">
        <v>3154</v>
      </c>
      <c r="F51" s="15" t="s">
        <v>3155</v>
      </c>
      <c r="G51" s="15" t="s">
        <v>3269</v>
      </c>
      <c r="H51" s="15" t="s">
        <v>3170</v>
      </c>
      <c r="I51" s="16" t="str">
        <f aca="false">IF(AND(LEN(TRIM(A51&amp;""))&gt;0,TRIM(A51&amp;"")&lt;&gt;"—",LEN(TRIM(B51&amp;""))&gt;0,TRIM(B51&amp;"")&lt;&gt;"—",LEN(TRIM(E51&amp;""))&gt;0,TRIM(E51&amp;"")&lt;&gt;"—"),"PASS","⚠ FAIL — "&amp;"a required cell is empty/placeholder or wrong type")</f>
        <v>PASS</v>
      </c>
    </row>
    <row r="52" customFormat="false" ht="32.8" hidden="false" customHeight="false" outlineLevel="0" collapsed="false">
      <c r="A52" s="11" t="s">
        <v>3270</v>
      </c>
      <c r="B52" s="80" t="n">
        <v>2</v>
      </c>
      <c r="C52" s="11"/>
      <c r="D52" s="11" t="s">
        <v>3180</v>
      </c>
      <c r="E52" s="11" t="s">
        <v>3154</v>
      </c>
      <c r="F52" s="15" t="s">
        <v>3155</v>
      </c>
      <c r="G52" s="15" t="s">
        <v>3271</v>
      </c>
      <c r="H52" s="15" t="s">
        <v>3170</v>
      </c>
      <c r="I52" s="16" t="str">
        <f aca="false">IF(AND(LEN(TRIM(A52&amp;""))&gt;0,TRIM(A52&amp;"")&lt;&gt;"—",LEN(TRIM(B52&amp;""))&gt;0,TRIM(B52&amp;"")&lt;&gt;"—",LEN(TRIM(E52&amp;""))&gt;0,TRIM(E52&amp;"")&lt;&gt;"—"),"PASS","⚠ FAIL — "&amp;"a required cell is empty/placeholder or wrong type")</f>
        <v>PASS</v>
      </c>
    </row>
    <row r="53" customFormat="false" ht="32.8" hidden="false" customHeight="false" outlineLevel="0" collapsed="false">
      <c r="A53" s="11" t="s">
        <v>3272</v>
      </c>
      <c r="B53" s="80" t="n">
        <v>2760</v>
      </c>
      <c r="C53" s="11" t="s">
        <v>1571</v>
      </c>
      <c r="D53" s="11" t="s">
        <v>3273</v>
      </c>
      <c r="E53" s="11" t="s">
        <v>3154</v>
      </c>
      <c r="F53" s="15" t="s">
        <v>3155</v>
      </c>
      <c r="G53" s="15" t="s">
        <v>3274</v>
      </c>
      <c r="H53" s="15" t="s">
        <v>3170</v>
      </c>
      <c r="I53" s="16" t="str">
        <f aca="false">IF(AND(LEN(TRIM(A53&amp;""))&gt;0,TRIM(A53&amp;"")&lt;&gt;"—",LEN(TRIM(B53&amp;""))&gt;0,TRIM(B53&amp;"")&lt;&gt;"—",LEN(TRIM(E53&amp;""))&gt;0,TRIM(E53&amp;"")&lt;&gt;"—"),"PASS","⚠ FAIL — "&amp;"a required cell is empty/placeholder or wrong type")</f>
        <v>PASS</v>
      </c>
    </row>
    <row r="54" customFormat="false" ht="22.35" hidden="false" customHeight="false" outlineLevel="0" collapsed="false">
      <c r="A54" s="11" t="s">
        <v>3275</v>
      </c>
      <c r="B54" s="80" t="n">
        <v>1290</v>
      </c>
      <c r="C54" s="11" t="s">
        <v>1571</v>
      </c>
      <c r="D54" s="11" t="s">
        <v>3273</v>
      </c>
      <c r="E54" s="11" t="s">
        <v>3154</v>
      </c>
      <c r="F54" s="15" t="s">
        <v>3155</v>
      </c>
      <c r="G54" s="15" t="s">
        <v>3276</v>
      </c>
      <c r="H54" s="15" t="s">
        <v>3170</v>
      </c>
      <c r="I54" s="16" t="str">
        <f aca="false">IF(AND(LEN(TRIM(A54&amp;""))&gt;0,TRIM(A54&amp;"")&lt;&gt;"—",LEN(TRIM(B54&amp;""))&gt;0,TRIM(B54&amp;"")&lt;&gt;"—",LEN(TRIM(E54&amp;""))&gt;0,TRIM(E54&amp;"")&lt;&gt;"—"),"PASS","⚠ FAIL — "&amp;"a required cell is empty/placeholder or wrong type")</f>
        <v>PASS</v>
      </c>
    </row>
    <row r="55" customFormat="false" ht="22.35" hidden="false" customHeight="false" outlineLevel="0" collapsed="false">
      <c r="A55" s="11" t="s">
        <v>3277</v>
      </c>
      <c r="B55" s="80" t="n">
        <v>65</v>
      </c>
      <c r="C55" s="11" t="s">
        <v>1571</v>
      </c>
      <c r="D55" s="11" t="s">
        <v>3278</v>
      </c>
      <c r="E55" s="11" t="s">
        <v>3154</v>
      </c>
      <c r="F55" s="15" t="s">
        <v>3155</v>
      </c>
      <c r="G55" s="15" t="s">
        <v>3279</v>
      </c>
      <c r="H55" s="15" t="s">
        <v>3170</v>
      </c>
      <c r="I55" s="16" t="str">
        <f aca="false">IF(AND(LEN(TRIM(A55&amp;""))&gt;0,TRIM(A55&amp;"")&lt;&gt;"—",LEN(TRIM(B55&amp;""))&gt;0,TRIM(B55&amp;"")&lt;&gt;"—",LEN(TRIM(E55&amp;""))&gt;0,TRIM(E55&amp;"")&lt;&gt;"—"),"PASS","⚠ FAIL — "&amp;"a required cell is empty/placeholder or wrong type")</f>
        <v>PASS</v>
      </c>
    </row>
    <row r="56" customFormat="false" ht="22.35" hidden="false" customHeight="false" outlineLevel="0" collapsed="false">
      <c r="A56" s="11" t="s">
        <v>3280</v>
      </c>
      <c r="B56" s="80" t="n">
        <v>75</v>
      </c>
      <c r="C56" s="11" t="s">
        <v>42</v>
      </c>
      <c r="D56" s="11" t="s">
        <v>3180</v>
      </c>
      <c r="E56" s="11" t="s">
        <v>3154</v>
      </c>
      <c r="F56" s="15" t="s">
        <v>3155</v>
      </c>
      <c r="G56" s="15" t="s">
        <v>3281</v>
      </c>
      <c r="H56" s="15" t="s">
        <v>3282</v>
      </c>
      <c r="I56" s="16" t="str">
        <f aca="false">IF(AND(LEN(TRIM(A56&amp;""))&gt;0,TRIM(A56&amp;"")&lt;&gt;"—",LEN(TRIM(B56&amp;""))&gt;0,TRIM(B56&amp;"")&lt;&gt;"—",LEN(TRIM(E56&amp;""))&gt;0,TRIM(E56&amp;"")&lt;&gt;"—"),"PASS","⚠ FAIL — "&amp;"a required cell is empty/placeholder or wrong type")</f>
        <v>PASS</v>
      </c>
    </row>
    <row r="57" customFormat="false" ht="32.8" hidden="false" customHeight="false" outlineLevel="0" collapsed="false">
      <c r="A57" s="11" t="s">
        <v>3283</v>
      </c>
      <c r="B57" s="80" t="n">
        <v>14.5</v>
      </c>
      <c r="C57" s="11" t="s">
        <v>163</v>
      </c>
      <c r="D57" s="11" t="s">
        <v>3153</v>
      </c>
      <c r="E57" s="11" t="s">
        <v>3154</v>
      </c>
      <c r="F57" s="15" t="s">
        <v>3155</v>
      </c>
      <c r="G57" s="15" t="s">
        <v>3284</v>
      </c>
      <c r="H57" s="15" t="s">
        <v>3285</v>
      </c>
      <c r="I57" s="16" t="str">
        <f aca="false">IF(AND(LEN(TRIM(A57&amp;""))&gt;0,TRIM(A57&amp;"")&lt;&gt;"—",LEN(TRIM(B57&amp;""))&gt;0,TRIM(B57&amp;"")&lt;&gt;"—",LEN(TRIM(E57&amp;""))&gt;0,TRIM(E57&amp;"")&lt;&gt;"—"),"PASS","⚠ FAIL — "&amp;"a required cell is empty/placeholder or wrong type")</f>
        <v>PASS</v>
      </c>
    </row>
    <row r="58" customFormat="false" ht="32.8" hidden="false" customHeight="false" outlineLevel="0" collapsed="false">
      <c r="A58" s="11" t="s">
        <v>2954</v>
      </c>
      <c r="B58" s="80" t="n">
        <v>53</v>
      </c>
      <c r="C58" s="11" t="s">
        <v>1588</v>
      </c>
      <c r="D58" s="11" t="s">
        <v>3114</v>
      </c>
      <c r="E58" s="11" t="s">
        <v>3158</v>
      </c>
      <c r="F58" s="15" t="s">
        <v>3286</v>
      </c>
      <c r="G58" s="15" t="s">
        <v>2955</v>
      </c>
      <c r="H58" s="15" t="s">
        <v>3287</v>
      </c>
      <c r="I58" s="16" t="str">
        <f aca="false">IF(AND(LEN(TRIM(A58&amp;""))&gt;0,TRIM(A58&amp;"")&lt;&gt;"—",LEN(TRIM(B58&amp;""))&gt;0,TRIM(B58&amp;"")&lt;&gt;"—",LEN(TRIM(E58&amp;""))&gt;0,TRIM(E58&amp;"")&lt;&gt;"—"),"PASS","⚠ FAIL — "&amp;"a required cell is empty/placeholder or wrong type")</f>
        <v>PASS</v>
      </c>
    </row>
    <row r="59" customFormat="false" ht="43.25" hidden="false" customHeight="false" outlineLevel="0" collapsed="false">
      <c r="A59" s="11" t="s">
        <v>3288</v>
      </c>
      <c r="B59" s="80" t="n">
        <v>1</v>
      </c>
      <c r="C59" s="11"/>
      <c r="D59" s="11" t="s">
        <v>3180</v>
      </c>
      <c r="E59" s="11" t="s">
        <v>3154</v>
      </c>
      <c r="F59" s="15" t="s">
        <v>3155</v>
      </c>
      <c r="G59" s="15" t="s">
        <v>3289</v>
      </c>
      <c r="H59" s="15" t="s">
        <v>3170</v>
      </c>
      <c r="I59" s="16" t="str">
        <f aca="false">IF(AND(LEN(TRIM(A59&amp;""))&gt;0,TRIM(A59&amp;"")&lt;&gt;"—",LEN(TRIM(B59&amp;""))&gt;0,TRIM(B59&amp;"")&lt;&gt;"—",LEN(TRIM(E59&amp;""))&gt;0,TRIM(E59&amp;"")&lt;&gt;"—"),"PASS","⚠ FAIL — "&amp;"a required cell is empty/placeholder or wrong type")</f>
        <v>PASS</v>
      </c>
    </row>
    <row r="60" customFormat="false" ht="64.15" hidden="false" customHeight="false" outlineLevel="0" collapsed="false">
      <c r="A60" s="11" t="s">
        <v>2976</v>
      </c>
      <c r="B60" s="80" t="n">
        <v>53</v>
      </c>
      <c r="C60" s="11" t="s">
        <v>1588</v>
      </c>
      <c r="D60" s="11" t="s">
        <v>3114</v>
      </c>
      <c r="E60" s="11" t="s">
        <v>3290</v>
      </c>
      <c r="F60" s="15" t="s">
        <v>3291</v>
      </c>
      <c r="G60" s="15" t="s">
        <v>3292</v>
      </c>
      <c r="H60" s="15" t="s">
        <v>3293</v>
      </c>
      <c r="I60" s="16" t="str">
        <f aca="false">IF(AND(LEN(TRIM(A60&amp;""))&gt;0,TRIM(A60&amp;"")&lt;&gt;"—",LEN(TRIM(B60&amp;""))&gt;0,TRIM(B60&amp;"")&lt;&gt;"—",LEN(TRIM(E60&amp;""))&gt;0,TRIM(E60&amp;"")&lt;&gt;"—"),"PASS","⚠ FAIL — "&amp;"a required cell is empty/placeholder or wrong type")</f>
        <v>PASS</v>
      </c>
    </row>
    <row r="61" customFormat="false" ht="22.35" hidden="false" customHeight="false" outlineLevel="0" collapsed="false">
      <c r="A61" s="11" t="s">
        <v>2913</v>
      </c>
      <c r="B61" s="80" t="n">
        <v>0.741</v>
      </c>
      <c r="C61" s="11" t="s">
        <v>2914</v>
      </c>
      <c r="D61" s="11" t="s">
        <v>3294</v>
      </c>
      <c r="E61" s="11" t="s">
        <v>3295</v>
      </c>
      <c r="F61" s="15" t="s">
        <v>3296</v>
      </c>
      <c r="G61" s="15" t="s">
        <v>3297</v>
      </c>
      <c r="H61" s="15" t="s">
        <v>3282</v>
      </c>
      <c r="I61" s="16" t="str">
        <f aca="false">IF(AND(LEN(TRIM(A61&amp;""))&gt;0,TRIM(A61&amp;"")&lt;&gt;"—",LEN(TRIM(B61&amp;""))&gt;0,TRIM(B61&amp;"")&lt;&gt;"—",LEN(TRIM(E61&amp;""))&gt;0,TRIM(E61&amp;"")&lt;&gt;"—"),"PASS","⚠ FAIL — "&amp;"a required cell is empty/placeholder or wrong type")</f>
        <v>PASS</v>
      </c>
    </row>
    <row r="62" customFormat="false" ht="22.35" hidden="false" customHeight="false" outlineLevel="0" collapsed="false">
      <c r="A62" s="11" t="s">
        <v>3298</v>
      </c>
      <c r="B62" s="80" t="n">
        <v>0.296464</v>
      </c>
      <c r="C62" s="11"/>
      <c r="D62" s="11" t="s">
        <v>3180</v>
      </c>
      <c r="E62" s="11" t="s">
        <v>3299</v>
      </c>
      <c r="F62" s="15" t="s">
        <v>3300</v>
      </c>
      <c r="G62" s="15" t="s">
        <v>3301</v>
      </c>
      <c r="H62" s="15" t="s">
        <v>3170</v>
      </c>
      <c r="I62" s="16" t="str">
        <f aca="false">IF(AND(LEN(TRIM(A62&amp;""))&gt;0,TRIM(A62&amp;"")&lt;&gt;"—",LEN(TRIM(B62&amp;""))&gt;0,TRIM(B62&amp;"")&lt;&gt;"—",LEN(TRIM(E62&amp;""))&gt;0,TRIM(E62&amp;"")&lt;&gt;"—"),"PASS","⚠ FAIL — "&amp;"a required cell is empty/placeholder or wrong type")</f>
        <v>PASS</v>
      </c>
    </row>
    <row r="63" customFormat="false" ht="22.35" hidden="false" customHeight="false" outlineLevel="0" collapsed="false">
      <c r="A63" s="11" t="s">
        <v>2933</v>
      </c>
      <c r="B63" s="80" t="n">
        <v>75</v>
      </c>
      <c r="C63" s="11" t="s">
        <v>1585</v>
      </c>
      <c r="D63" s="11" t="s">
        <v>3114</v>
      </c>
      <c r="E63" s="11" t="s">
        <v>3302</v>
      </c>
      <c r="F63" s="15" t="s">
        <v>3303</v>
      </c>
      <c r="G63" s="15" t="s">
        <v>3304</v>
      </c>
      <c r="H63" s="15" t="s">
        <v>3305</v>
      </c>
      <c r="I63" s="16" t="str">
        <f aca="false">IF(AND(LEN(TRIM(A63&amp;""))&gt;0,TRIM(A63&amp;"")&lt;&gt;"—",LEN(TRIM(B63&amp;""))&gt;0,TRIM(B63&amp;"")&lt;&gt;"—",LEN(TRIM(E63&amp;""))&gt;0,TRIM(E63&amp;"")&lt;&gt;"—"),"PASS","⚠ FAIL — "&amp;"a required cell is empty/placeholder or wrong type")</f>
        <v>PASS</v>
      </c>
    </row>
    <row r="64" customFormat="false" ht="22.35" hidden="false" customHeight="false" outlineLevel="0" collapsed="false">
      <c r="A64" s="11" t="s">
        <v>2936</v>
      </c>
      <c r="B64" s="80" t="n">
        <v>108.25</v>
      </c>
      <c r="C64" s="11" t="s">
        <v>1568</v>
      </c>
      <c r="D64" s="11" t="s">
        <v>3306</v>
      </c>
      <c r="E64" s="11" t="s">
        <v>3302</v>
      </c>
      <c r="F64" s="15" t="s">
        <v>3303</v>
      </c>
      <c r="G64" s="15" t="s">
        <v>3304</v>
      </c>
      <c r="H64" s="15" t="s">
        <v>3305</v>
      </c>
      <c r="I64" s="16" t="str">
        <f aca="false">IF(AND(LEN(TRIM(A64&amp;""))&gt;0,TRIM(A64&amp;"")&lt;&gt;"—",LEN(TRIM(B64&amp;""))&gt;0,TRIM(B64&amp;"")&lt;&gt;"—",LEN(TRIM(E64&amp;""))&gt;0,TRIM(E64&amp;"")&lt;&gt;"—"),"PASS","⚠ FAIL — "&amp;"a required cell is empty/placeholder or wrong type")</f>
        <v>PASS</v>
      </c>
    </row>
    <row r="65" customFormat="false" ht="22.35" hidden="false" customHeight="false" outlineLevel="0" collapsed="false">
      <c r="A65" s="11" t="s">
        <v>2924</v>
      </c>
      <c r="B65" s="80" t="n">
        <v>25</v>
      </c>
      <c r="C65" s="11" t="s">
        <v>2925</v>
      </c>
      <c r="D65" s="11" t="s">
        <v>3294</v>
      </c>
      <c r="E65" s="11" t="s">
        <v>3307</v>
      </c>
      <c r="F65" s="15" t="s">
        <v>3308</v>
      </c>
      <c r="G65" s="15" t="s">
        <v>3309</v>
      </c>
      <c r="H65" s="15" t="s">
        <v>3282</v>
      </c>
      <c r="I65" s="16" t="str">
        <f aca="false">IF(AND(LEN(TRIM(A65&amp;""))&gt;0,TRIM(A65&amp;"")&lt;&gt;"—",LEN(TRIM(B65&amp;""))&gt;0,TRIM(B65&amp;"")&lt;&gt;"—",LEN(TRIM(E65&amp;""))&gt;0,TRIM(E65&amp;"")&lt;&gt;"—"),"PASS","⚠ FAIL — "&amp;"a required cell is empty/placeholder or wrong type")</f>
        <v>PASS</v>
      </c>
    </row>
    <row r="66" customFormat="false" ht="22.35" hidden="false" customHeight="false" outlineLevel="0" collapsed="false">
      <c r="A66" s="11" t="s">
        <v>2929</v>
      </c>
      <c r="B66" s="80" t="n">
        <v>2.03</v>
      </c>
      <c r="C66" s="11" t="s">
        <v>42</v>
      </c>
      <c r="D66" s="11" t="s">
        <v>3180</v>
      </c>
      <c r="E66" s="11" t="s">
        <v>3307</v>
      </c>
      <c r="F66" s="15" t="s">
        <v>3308</v>
      </c>
      <c r="G66" s="15" t="s">
        <v>3309</v>
      </c>
      <c r="H66" s="15" t="s">
        <v>3310</v>
      </c>
      <c r="I66" s="16" t="str">
        <f aca="false">IF(AND(LEN(TRIM(A66&amp;""))&gt;0,TRIM(A66&amp;"")&lt;&gt;"—",LEN(TRIM(B66&amp;""))&gt;0,TRIM(B66&amp;"")&lt;&gt;"—",LEN(TRIM(E66&amp;""))&gt;0,TRIM(E66&amp;"")&lt;&gt;"—"),"PASS","⚠ FAIL — "&amp;"a required cell is empty/placeholder or wrong type")</f>
        <v>PASS</v>
      </c>
    </row>
    <row r="67" customFormat="false" ht="22.35" hidden="false" customHeight="false" outlineLevel="0" collapsed="false">
      <c r="A67" s="11" t="s">
        <v>2993</v>
      </c>
      <c r="B67" s="80" t="n">
        <v>1.35874844613195</v>
      </c>
      <c r="C67" s="11" t="s">
        <v>2994</v>
      </c>
      <c r="D67" s="11" t="s">
        <v>3273</v>
      </c>
      <c r="E67" s="11" t="s">
        <v>3311</v>
      </c>
      <c r="F67" s="15" t="s">
        <v>3312</v>
      </c>
      <c r="G67" s="15" t="s">
        <v>3313</v>
      </c>
      <c r="H67" s="15" t="s">
        <v>3282</v>
      </c>
      <c r="I67" s="16" t="str">
        <f aca="false">IF(AND(LEN(TRIM(A67&amp;""))&gt;0,TRIM(A67&amp;"")&lt;&gt;"—",LEN(TRIM(B67&amp;""))&gt;0,TRIM(B67&amp;"")&lt;&gt;"—",LEN(TRIM(E67&amp;""))&gt;0,TRIM(E67&amp;"")&lt;&gt;"—"),"PASS","⚠ FAIL — "&amp;"a required cell is empty/placeholder or wrong type")</f>
        <v>PASS</v>
      </c>
    </row>
    <row r="68" customFormat="false" ht="22.35" hidden="false" customHeight="false" outlineLevel="0" collapsed="false">
      <c r="A68" s="11" t="s">
        <v>2998</v>
      </c>
      <c r="B68" s="80" t="n">
        <v>46.19932646875</v>
      </c>
      <c r="C68" s="11" t="s">
        <v>2999</v>
      </c>
      <c r="D68" s="11" t="s">
        <v>3314</v>
      </c>
      <c r="E68" s="11" t="s">
        <v>3315</v>
      </c>
      <c r="F68" s="15" t="s">
        <v>3316</v>
      </c>
      <c r="G68" s="15" t="s">
        <v>3317</v>
      </c>
      <c r="H68" s="15" t="s">
        <v>3170</v>
      </c>
      <c r="I68" s="16" t="str">
        <f aca="false">IF(AND(LEN(TRIM(A68&amp;""))&gt;0,TRIM(A68&amp;"")&lt;&gt;"—",LEN(TRIM(B68&amp;""))&gt;0,TRIM(B68&amp;"")&lt;&gt;"—",LEN(TRIM(E68&amp;""))&gt;0,TRIM(E68&amp;"")&lt;&gt;"—"),"PASS","⚠ FAIL — "&amp;"a required cell is empty/placeholder or wrong type")</f>
        <v>PASS</v>
      </c>
    </row>
    <row r="69" customFormat="false" ht="22.35" hidden="false" customHeight="false" outlineLevel="0" collapsed="false">
      <c r="A69" s="11" t="s">
        <v>3318</v>
      </c>
      <c r="B69" s="80" t="n">
        <v>9.653</v>
      </c>
      <c r="C69" s="11" t="s">
        <v>1588</v>
      </c>
      <c r="D69" s="11" t="s">
        <v>3114</v>
      </c>
      <c r="E69" s="11" t="s">
        <v>3319</v>
      </c>
      <c r="F69" s="15" t="s">
        <v>3320</v>
      </c>
      <c r="G69" s="15" t="s">
        <v>3321</v>
      </c>
      <c r="H69" s="15" t="s">
        <v>3015</v>
      </c>
      <c r="I69" s="16" t="str">
        <f aca="false">IF(AND(LEN(TRIM(A69&amp;""))&gt;0,TRIM(A69&amp;"")&lt;&gt;"—",LEN(TRIM(B69&amp;""))&gt;0,TRIM(B69&amp;"")&lt;&gt;"—",LEN(TRIM(E69&amp;""))&gt;0,TRIM(E69&amp;"")&lt;&gt;"—"),"PASS","⚠ FAIL — "&amp;"a required cell is empty/placeholder or wrong type")</f>
        <v>PASS</v>
      </c>
    </row>
    <row r="70" customFormat="false" ht="22.35" hidden="false" customHeight="false" outlineLevel="0" collapsed="false">
      <c r="A70" s="11" t="s">
        <v>3322</v>
      </c>
      <c r="B70" s="80" t="n">
        <v>90</v>
      </c>
      <c r="C70" s="11" t="s">
        <v>33</v>
      </c>
      <c r="D70" s="11" t="s">
        <v>3323</v>
      </c>
      <c r="E70" s="11" t="s">
        <v>3319</v>
      </c>
      <c r="F70" s="15" t="s">
        <v>3320</v>
      </c>
      <c r="G70" s="15" t="s">
        <v>3321</v>
      </c>
      <c r="H70" s="15" t="s">
        <v>3170</v>
      </c>
      <c r="I70" s="16" t="str">
        <f aca="false">IF(AND(LEN(TRIM(A70&amp;""))&gt;0,TRIM(A70&amp;"")&lt;&gt;"—",LEN(TRIM(B70&amp;""))&gt;0,TRIM(B70&amp;"")&lt;&gt;"—",LEN(TRIM(E70&amp;""))&gt;0,TRIM(E70&amp;"")&lt;&gt;"—"),"PASS","⚠ FAIL — "&amp;"a required cell is empty/placeholder or wrong type")</f>
        <v>PASS</v>
      </c>
    </row>
    <row r="71" customFormat="false" ht="22.35" hidden="false" customHeight="false" outlineLevel="0" collapsed="false">
      <c r="A71" s="11" t="s">
        <v>3020</v>
      </c>
      <c r="B71" s="80" t="n">
        <v>3.46572421577573</v>
      </c>
      <c r="C71" s="11" t="s">
        <v>3021</v>
      </c>
      <c r="D71" s="11" t="s">
        <v>3294</v>
      </c>
      <c r="E71" s="11" t="s">
        <v>3324</v>
      </c>
      <c r="F71" s="15" t="s">
        <v>3325</v>
      </c>
      <c r="G71" s="15" t="s">
        <v>3326</v>
      </c>
      <c r="H71" s="15" t="s">
        <v>3282</v>
      </c>
      <c r="I71" s="16" t="str">
        <f aca="false">IF(AND(LEN(TRIM(A71&amp;""))&gt;0,TRIM(A71&amp;"")&lt;&gt;"—",LEN(TRIM(B71&amp;""))&gt;0,TRIM(B71&amp;"")&lt;&gt;"—",LEN(TRIM(E71&amp;""))&gt;0,TRIM(E71&amp;"")&lt;&gt;"—"),"PASS","⚠ FAIL — "&amp;"a required cell is empty/placeholder or wrong type")</f>
        <v>PASS</v>
      </c>
    </row>
    <row r="72" customFormat="false" ht="22.35" hidden="false" customHeight="false" outlineLevel="0" collapsed="false">
      <c r="A72" s="11" t="s">
        <v>3024</v>
      </c>
      <c r="B72" s="80" t="n">
        <v>23.0831984945154</v>
      </c>
      <c r="C72" s="11" t="s">
        <v>3025</v>
      </c>
      <c r="D72" s="11" t="s">
        <v>3327</v>
      </c>
      <c r="E72" s="11" t="s">
        <v>3324</v>
      </c>
      <c r="F72" s="15" t="s">
        <v>3325</v>
      </c>
      <c r="G72" s="15" t="s">
        <v>3326</v>
      </c>
      <c r="H72" s="15" t="s">
        <v>3328</v>
      </c>
      <c r="I72" s="16" t="str">
        <f aca="false">IF(AND(LEN(TRIM(A72&amp;""))&gt;0,TRIM(A72&amp;"")&lt;&gt;"—",LEN(TRIM(B72&amp;""))&gt;0,TRIM(B72&amp;"")&lt;&gt;"—",LEN(TRIM(E72&amp;""))&gt;0,TRIM(E72&amp;"")&lt;&gt;"—"),"PASS","⚠ FAIL — "&amp;"a required cell is empty/placeholder or wrong type")</f>
        <v>PASS</v>
      </c>
    </row>
    <row r="73" customFormat="false" ht="22.35" hidden="false" customHeight="false" outlineLevel="0" collapsed="false">
      <c r="A73" s="11" t="s">
        <v>3029</v>
      </c>
      <c r="B73" s="80" t="n">
        <v>640</v>
      </c>
      <c r="C73" s="11" t="s">
        <v>3030</v>
      </c>
      <c r="D73" s="11" t="s">
        <v>3323</v>
      </c>
      <c r="E73" s="11" t="s">
        <v>3329</v>
      </c>
      <c r="F73" s="15" t="s">
        <v>3330</v>
      </c>
      <c r="G73" s="15" t="s">
        <v>3331</v>
      </c>
      <c r="H73" s="15" t="s">
        <v>3282</v>
      </c>
      <c r="I73" s="16" t="str">
        <f aca="false">IF(AND(LEN(TRIM(A73&amp;""))&gt;0,TRIM(A73&amp;"")&lt;&gt;"—",LEN(TRIM(B73&amp;""))&gt;0,TRIM(B73&amp;"")&lt;&gt;"—",LEN(TRIM(E73&amp;""))&gt;0,TRIM(E73&amp;"")&lt;&gt;"—"),"PASS","⚠ FAIL — "&amp;"a required cell is empty/placeholder or wrong type")</f>
        <v>PASS</v>
      </c>
    </row>
    <row r="74" customFormat="false" ht="22.35" hidden="false" customHeight="false" outlineLevel="0" collapsed="false">
      <c r="A74" s="11" t="s">
        <v>3332</v>
      </c>
      <c r="B74" s="80" t="n">
        <v>600.811</v>
      </c>
      <c r="C74" s="11" t="s">
        <v>2999</v>
      </c>
      <c r="D74" s="11" t="s">
        <v>3314</v>
      </c>
      <c r="E74" s="11" t="s">
        <v>3333</v>
      </c>
      <c r="F74" s="15" t="s">
        <v>3334</v>
      </c>
      <c r="G74" s="15" t="s">
        <v>3335</v>
      </c>
      <c r="H74" s="15" t="s">
        <v>3282</v>
      </c>
      <c r="I74" s="16" t="str">
        <f aca="false">IF(AND(LEN(TRIM(A74&amp;""))&gt;0,TRIM(A74&amp;"")&lt;&gt;"—",LEN(TRIM(B74&amp;""))&gt;0,TRIM(B74&amp;"")&lt;&gt;"—",LEN(TRIM(E74&amp;""))&gt;0,TRIM(E74&amp;"")&lt;&gt;"—"),"PASS","⚠ FAIL — "&amp;"a required cell is empty/placeholder or wrong type")</f>
        <v>PASS</v>
      </c>
    </row>
    <row r="75" customFormat="false" ht="22.35" hidden="false" customHeight="false" outlineLevel="0" collapsed="false">
      <c r="A75" s="11" t="s">
        <v>3015</v>
      </c>
      <c r="B75" s="80" t="n">
        <v>1500.8</v>
      </c>
      <c r="C75" s="11" t="s">
        <v>2999</v>
      </c>
      <c r="D75" s="11" t="s">
        <v>3314</v>
      </c>
      <c r="E75" s="11" t="s">
        <v>3336</v>
      </c>
      <c r="F75" s="15" t="s">
        <v>3337</v>
      </c>
      <c r="G75" s="15" t="s">
        <v>3338</v>
      </c>
      <c r="H75" s="15" t="s">
        <v>3282</v>
      </c>
      <c r="I75" s="16" t="str">
        <f aca="false">IF(AND(LEN(TRIM(A75&amp;""))&gt;0,TRIM(A75&amp;"")&lt;&gt;"—",LEN(TRIM(B75&amp;""))&gt;0,TRIM(B75&amp;"")&lt;&gt;"—",LEN(TRIM(E75&amp;""))&gt;0,TRIM(E75&amp;"")&lt;&gt;"—"),"PASS","⚠ FAIL — "&amp;"a required cell is empty/placeholder or wrong type")</f>
        <v>PASS</v>
      </c>
    </row>
    <row r="76" customFormat="false" ht="22.35" hidden="false" customHeight="false" outlineLevel="0" collapsed="false">
      <c r="A76" s="11" t="s">
        <v>3057</v>
      </c>
      <c r="B76" s="80" t="n">
        <v>363.6</v>
      </c>
      <c r="C76" s="11" t="s">
        <v>3021</v>
      </c>
      <c r="D76" s="11" t="s">
        <v>3294</v>
      </c>
      <c r="E76" s="11" t="s">
        <v>3339</v>
      </c>
      <c r="F76" s="15" t="s">
        <v>3340</v>
      </c>
      <c r="G76" s="15" t="s">
        <v>3341</v>
      </c>
      <c r="H76" s="15" t="s">
        <v>3282</v>
      </c>
      <c r="I76" s="16" t="str">
        <f aca="false">IF(AND(LEN(TRIM(A76&amp;""))&gt;0,TRIM(A76&amp;"")&lt;&gt;"—",LEN(TRIM(B76&amp;""))&gt;0,TRIM(B76&amp;"")&lt;&gt;"—",LEN(TRIM(E76&amp;""))&gt;0,TRIM(E76&amp;"")&lt;&gt;"—"),"PASS","⚠ FAIL — "&amp;"a required cell is empty/placeholder or wrong type")</f>
        <v>PASS</v>
      </c>
    </row>
    <row r="77" customFormat="false" ht="22.35" hidden="false" customHeight="false" outlineLevel="0" collapsed="false">
      <c r="A77" s="11" t="s">
        <v>3342</v>
      </c>
      <c r="B77" s="80" t="n">
        <v>8</v>
      </c>
      <c r="C77" s="11" t="s">
        <v>33</v>
      </c>
      <c r="D77" s="11" t="s">
        <v>3323</v>
      </c>
      <c r="E77" s="11" t="s">
        <v>3339</v>
      </c>
      <c r="F77" s="15" t="s">
        <v>3340</v>
      </c>
      <c r="G77" s="15" t="s">
        <v>3341</v>
      </c>
      <c r="H77" s="15" t="s">
        <v>3170</v>
      </c>
      <c r="I77" s="16" t="str">
        <f aca="false">IF(AND(LEN(TRIM(A77&amp;""))&gt;0,TRIM(A77&amp;"")&lt;&gt;"—",LEN(TRIM(B77&amp;""))&gt;0,TRIM(B77&amp;"")&lt;&gt;"—",LEN(TRIM(E77&amp;""))&gt;0,TRIM(E77&amp;"")&lt;&gt;"—"),"PASS","⚠ FAIL — "&amp;"a required cell is empty/placeholder or wrong type")</f>
        <v>PASS</v>
      </c>
    </row>
    <row r="78" customFormat="false" ht="22.35" hidden="false" customHeight="false" outlineLevel="0" collapsed="false">
      <c r="A78" s="11" t="s">
        <v>3063</v>
      </c>
      <c r="B78" s="80" t="n">
        <v>115727</v>
      </c>
      <c r="C78" s="11" t="s">
        <v>167</v>
      </c>
      <c r="D78" s="11" t="s">
        <v>3343</v>
      </c>
      <c r="E78" s="11" t="s">
        <v>3339</v>
      </c>
      <c r="F78" s="15" t="s">
        <v>3340</v>
      </c>
      <c r="G78" s="15" t="s">
        <v>3341</v>
      </c>
      <c r="H78" s="15" t="s">
        <v>3282</v>
      </c>
      <c r="I78" s="16" t="str">
        <f aca="false">IF(AND(LEN(TRIM(A78&amp;""))&gt;0,TRIM(A78&amp;"")&lt;&gt;"—",LEN(TRIM(B78&amp;""))&gt;0,TRIM(B78&amp;"")&lt;&gt;"—",LEN(TRIM(E78&amp;""))&gt;0,TRIM(E78&amp;"")&lt;&gt;"—"),"PASS","⚠ FAIL — "&amp;"a required cell is empty/placeholder or wrong type")</f>
        <v>PASS</v>
      </c>
    </row>
    <row r="79" customFormat="false" ht="22.35" hidden="false" customHeight="false" outlineLevel="0" collapsed="false">
      <c r="A79" s="11" t="s">
        <v>3053</v>
      </c>
      <c r="B79" s="80" t="n">
        <v>261.6</v>
      </c>
      <c r="C79" s="11" t="s">
        <v>27</v>
      </c>
      <c r="D79" s="11" t="s">
        <v>3171</v>
      </c>
      <c r="E79" s="11" t="s">
        <v>3344</v>
      </c>
      <c r="F79" s="15" t="s">
        <v>3172</v>
      </c>
      <c r="G79" s="15" t="s">
        <v>3345</v>
      </c>
      <c r="H79" s="15" t="s">
        <v>3170</v>
      </c>
      <c r="I79" s="16" t="str">
        <f aca="false">IF(AND(LEN(TRIM(A79&amp;""))&gt;0,TRIM(A79&amp;"")&lt;&gt;"—",LEN(TRIM(B79&amp;""))&gt;0,TRIM(B79&amp;"")&lt;&gt;"—",LEN(TRIM(E79&amp;""))&gt;0,TRIM(E79&amp;"")&lt;&gt;"—"),"PASS","⚠ FAIL — "&amp;"a required cell is empty/placeholder or wrong type")</f>
        <v>PASS</v>
      </c>
    </row>
    <row r="80" customFormat="false" ht="22.35" hidden="false" customHeight="false" outlineLevel="0" collapsed="false">
      <c r="A80" s="11" t="s">
        <v>3346</v>
      </c>
      <c r="B80" s="80" t="n">
        <v>1.923</v>
      </c>
      <c r="C80" s="11" t="s">
        <v>1588</v>
      </c>
      <c r="D80" s="11" t="s">
        <v>3114</v>
      </c>
      <c r="E80" s="11" t="s">
        <v>3347</v>
      </c>
      <c r="F80" s="15" t="s">
        <v>3208</v>
      </c>
      <c r="G80" s="15" t="s">
        <v>3348</v>
      </c>
      <c r="H80" s="15" t="s">
        <v>3349</v>
      </c>
      <c r="I80" s="16" t="str">
        <f aca="false">IF(AND(LEN(TRIM(A80&amp;""))&gt;0,TRIM(A80&amp;"")&lt;&gt;"—",LEN(TRIM(B80&amp;""))&gt;0,TRIM(B80&amp;"")&lt;&gt;"—",LEN(TRIM(E80&amp;""))&gt;0,TRIM(E80&amp;"")&lt;&gt;"—"),"PASS","⚠ FAIL — "&amp;"a required cell is empty/placeholder or wrong type")</f>
        <v>PASS</v>
      </c>
    </row>
    <row r="81" customFormat="false" ht="22.35" hidden="false" customHeight="false" outlineLevel="0" collapsed="false">
      <c r="A81" s="11" t="s">
        <v>3350</v>
      </c>
      <c r="B81" s="80" t="n">
        <v>556.127</v>
      </c>
      <c r="C81" s="11" t="s">
        <v>2999</v>
      </c>
      <c r="D81" s="11" t="s">
        <v>3314</v>
      </c>
      <c r="E81" s="11" t="s">
        <v>3333</v>
      </c>
      <c r="F81" s="15" t="s">
        <v>3334</v>
      </c>
      <c r="G81" s="15" t="s">
        <v>3335</v>
      </c>
      <c r="H81" s="15" t="s">
        <v>3282</v>
      </c>
      <c r="I81" s="16" t="str">
        <f aca="false">IF(AND(LEN(TRIM(A81&amp;""))&gt;0,TRIM(A81&amp;"")&lt;&gt;"—",LEN(TRIM(B81&amp;""))&gt;0,TRIM(B81&amp;"")&lt;&gt;"—",LEN(TRIM(E81&amp;""))&gt;0,TRIM(E81&amp;"")&lt;&gt;"—"),"PASS","⚠ FAIL — "&amp;"a required cell is empty/placeholder or wrong type")</f>
        <v>PASS</v>
      </c>
    </row>
    <row r="82" customFormat="false" ht="53.7" hidden="false" customHeight="false" outlineLevel="0" collapsed="false">
      <c r="A82" s="11" t="s">
        <v>3351</v>
      </c>
      <c r="B82" s="80" t="n">
        <v>2.8</v>
      </c>
      <c r="C82" s="11" t="s">
        <v>1588</v>
      </c>
      <c r="D82" s="11" t="s">
        <v>3114</v>
      </c>
      <c r="E82" s="11" t="s">
        <v>3352</v>
      </c>
      <c r="F82" s="15" t="s">
        <v>3353</v>
      </c>
      <c r="G82" s="15" t="s">
        <v>3354</v>
      </c>
      <c r="H82" s="15" t="s">
        <v>3170</v>
      </c>
      <c r="I82" s="16" t="str">
        <f aca="false">IF(AND(LEN(TRIM(A82&amp;""))&gt;0,TRIM(A82&amp;"")&lt;&gt;"—",LEN(TRIM(B82&amp;""))&gt;0,TRIM(B82&amp;"")&lt;&gt;"—",LEN(TRIM(E82&amp;""))&gt;0,TRIM(E82&amp;"")&lt;&gt;"—"),"PASS","⚠ FAIL — "&amp;"a required cell is empty/placeholder or wrong type")</f>
        <v>PASS</v>
      </c>
    </row>
    <row r="83" customFormat="false" ht="53.7" hidden="false" customHeight="false" outlineLevel="0" collapsed="false">
      <c r="A83" s="11" t="s">
        <v>3355</v>
      </c>
      <c r="B83" s="80" t="n">
        <v>8</v>
      </c>
      <c r="C83" s="11" t="s">
        <v>33</v>
      </c>
      <c r="D83" s="11" t="s">
        <v>3153</v>
      </c>
      <c r="E83" s="11" t="s">
        <v>3352</v>
      </c>
      <c r="F83" s="15" t="s">
        <v>3356</v>
      </c>
      <c r="G83" s="15" t="s">
        <v>3357</v>
      </c>
      <c r="H83" s="15" t="s">
        <v>3170</v>
      </c>
      <c r="I83" s="16" t="str">
        <f aca="false">IF(AND(LEN(TRIM(A83&amp;""))&gt;0,TRIM(A83&amp;"")&lt;&gt;"—",LEN(TRIM(B83&amp;""))&gt;0,TRIM(B83&amp;"")&lt;&gt;"—",LEN(TRIM(E83&amp;""))&gt;0,TRIM(E83&amp;"")&lt;&gt;"—"),"PASS","⚠ FAIL — "&amp;"a required cell is empty/placeholder or wrong type")</f>
        <v>PASS</v>
      </c>
    </row>
    <row r="84" customFormat="false" ht="64.15" hidden="false" customHeight="false" outlineLevel="0" collapsed="false">
      <c r="A84" s="11" t="s">
        <v>3358</v>
      </c>
      <c r="B84" s="80" t="n">
        <v>45</v>
      </c>
      <c r="C84" s="11" t="s">
        <v>33</v>
      </c>
      <c r="D84" s="11" t="s">
        <v>3153</v>
      </c>
      <c r="E84" s="11" t="s">
        <v>3352</v>
      </c>
      <c r="F84" s="15" t="s">
        <v>3359</v>
      </c>
      <c r="G84" s="15" t="s">
        <v>3360</v>
      </c>
      <c r="H84" s="15" t="s">
        <v>3170</v>
      </c>
      <c r="I84" s="16" t="str">
        <f aca="false">IF(AND(LEN(TRIM(A84&amp;""))&gt;0,TRIM(A84&amp;"")&lt;&gt;"—",LEN(TRIM(B84&amp;""))&gt;0,TRIM(B84&amp;"")&lt;&gt;"—",LEN(TRIM(E84&amp;""))&gt;0,TRIM(E84&amp;"")&lt;&gt;"—"),"PASS","⚠ FAIL — "&amp;"a required cell is empty/placeholder or wrong type")</f>
        <v>PASS</v>
      </c>
    </row>
    <row r="85" customFormat="false" ht="64.15" hidden="false" customHeight="false" outlineLevel="0" collapsed="false">
      <c r="A85" s="11" t="s">
        <v>3361</v>
      </c>
      <c r="B85" s="80" t="n">
        <v>11</v>
      </c>
      <c r="C85" s="11" t="s">
        <v>33</v>
      </c>
      <c r="D85" s="11" t="s">
        <v>3153</v>
      </c>
      <c r="E85" s="11" t="s">
        <v>3352</v>
      </c>
      <c r="F85" s="15" t="s">
        <v>3362</v>
      </c>
      <c r="G85" s="15" t="s">
        <v>3363</v>
      </c>
      <c r="H85" s="15" t="s">
        <v>3170</v>
      </c>
      <c r="I85" s="16" t="str">
        <f aca="false">IF(AND(LEN(TRIM(A85&amp;""))&gt;0,TRIM(A85&amp;"")&lt;&gt;"—",LEN(TRIM(B85&amp;""))&gt;0,TRIM(B85&amp;"")&lt;&gt;"—",LEN(TRIM(E85&amp;""))&gt;0,TRIM(E85&amp;"")&lt;&gt;"—"),"PASS","⚠ FAIL — "&amp;"a required cell is empty/placeholder or wrong type")</f>
        <v>PASS</v>
      </c>
    </row>
    <row r="86" customFormat="false" ht="64.15" hidden="false" customHeight="false" outlineLevel="0" collapsed="false">
      <c r="A86" s="11" t="s">
        <v>3364</v>
      </c>
      <c r="B86" s="80" t="n">
        <v>8</v>
      </c>
      <c r="C86" s="11" t="s">
        <v>33</v>
      </c>
      <c r="D86" s="11" t="s">
        <v>3153</v>
      </c>
      <c r="E86" s="11" t="s">
        <v>3352</v>
      </c>
      <c r="F86" s="15" t="s">
        <v>3356</v>
      </c>
      <c r="G86" s="15" t="s">
        <v>3365</v>
      </c>
      <c r="H86" s="15" t="s">
        <v>3170</v>
      </c>
      <c r="I86" s="16" t="str">
        <f aca="false">IF(AND(LEN(TRIM(A86&amp;""))&gt;0,TRIM(A86&amp;"")&lt;&gt;"—",LEN(TRIM(B86&amp;""))&gt;0,TRIM(B86&amp;"")&lt;&gt;"—",LEN(TRIM(E86&amp;""))&gt;0,TRIM(E86&amp;"")&lt;&gt;"—"),"PASS","⚠ FAIL — "&amp;"a required cell is empty/placeholder or wrong type")</f>
        <v>PASS</v>
      </c>
    </row>
    <row r="87" customFormat="false" ht="53.7" hidden="false" customHeight="false" outlineLevel="0" collapsed="false">
      <c r="A87" s="11" t="s">
        <v>3366</v>
      </c>
      <c r="B87" s="80" t="n">
        <v>4</v>
      </c>
      <c r="C87" s="11" t="s">
        <v>33</v>
      </c>
      <c r="D87" s="11" t="s">
        <v>3153</v>
      </c>
      <c r="E87" s="11" t="s">
        <v>3352</v>
      </c>
      <c r="F87" s="15" t="s">
        <v>3367</v>
      </c>
      <c r="G87" s="15" t="s">
        <v>3368</v>
      </c>
      <c r="H87" s="15" t="s">
        <v>3170</v>
      </c>
      <c r="I87" s="16" t="str">
        <f aca="false">IF(AND(LEN(TRIM(A87&amp;""))&gt;0,TRIM(A87&amp;"")&lt;&gt;"—",LEN(TRIM(B87&amp;""))&gt;0,TRIM(B87&amp;"")&lt;&gt;"—",LEN(TRIM(E87&amp;""))&gt;0,TRIM(E87&amp;"")&lt;&gt;"—"),"PASS","⚠ FAIL — "&amp;"a required cell is empty/placeholder or wrong type")</f>
        <v>PASS</v>
      </c>
    </row>
    <row r="88" customFormat="false" ht="53.7" hidden="false" customHeight="false" outlineLevel="0" collapsed="false">
      <c r="A88" s="11" t="s">
        <v>3369</v>
      </c>
      <c r="B88" s="80" t="n">
        <v>4</v>
      </c>
      <c r="C88" s="11" t="s">
        <v>33</v>
      </c>
      <c r="D88" s="11" t="s">
        <v>3153</v>
      </c>
      <c r="E88" s="11" t="s">
        <v>3352</v>
      </c>
      <c r="F88" s="15" t="s">
        <v>3367</v>
      </c>
      <c r="G88" s="15" t="s">
        <v>3370</v>
      </c>
      <c r="H88" s="15" t="s">
        <v>3170</v>
      </c>
      <c r="I88" s="16" t="str">
        <f aca="false">IF(AND(LEN(TRIM(A88&amp;""))&gt;0,TRIM(A88&amp;"")&lt;&gt;"—",LEN(TRIM(B88&amp;""))&gt;0,TRIM(B88&amp;"")&lt;&gt;"—",LEN(TRIM(E88&amp;""))&gt;0,TRIM(E88&amp;"")&lt;&gt;"—"),"PASS","⚠ FAIL — "&amp;"a required cell is empty/placeholder or wrong type")</f>
        <v>PASS</v>
      </c>
    </row>
    <row r="89" customFormat="false" ht="74.6" hidden="false" customHeight="false" outlineLevel="0" collapsed="false">
      <c r="A89" s="11" t="s">
        <v>3175</v>
      </c>
      <c r="B89" s="80" t="n">
        <v>120</v>
      </c>
      <c r="C89" s="11" t="s">
        <v>27</v>
      </c>
      <c r="D89" s="11" t="s">
        <v>3371</v>
      </c>
      <c r="E89" s="11" t="s">
        <v>3352</v>
      </c>
      <c r="F89" s="15" t="s">
        <v>3372</v>
      </c>
      <c r="G89" s="15" t="s">
        <v>3373</v>
      </c>
      <c r="H89" s="15" t="s">
        <v>3170</v>
      </c>
      <c r="I89" s="16" t="str">
        <f aca="false">IF(AND(LEN(TRIM(A89&amp;""))&gt;0,TRIM(A89&amp;"")&lt;&gt;"—",LEN(TRIM(B89&amp;""))&gt;0,TRIM(B89&amp;"")&lt;&gt;"—",LEN(TRIM(E89&amp;""))&gt;0,TRIM(E89&amp;"")&lt;&gt;"—"),"PASS","⚠ FAIL — "&amp;"a required cell is empty/placeholder or wrong type")</f>
        <v>PASS</v>
      </c>
    </row>
    <row r="90" customFormat="false" ht="74.6" hidden="false" customHeight="false" outlineLevel="0" collapsed="false">
      <c r="A90" s="11" t="s">
        <v>3374</v>
      </c>
      <c r="B90" s="80" t="n">
        <v>90</v>
      </c>
      <c r="C90" s="11" t="s">
        <v>33</v>
      </c>
      <c r="D90" s="11" t="s">
        <v>3153</v>
      </c>
      <c r="E90" s="11" t="s">
        <v>3352</v>
      </c>
      <c r="F90" s="15" t="s">
        <v>3375</v>
      </c>
      <c r="G90" s="15" t="s">
        <v>3376</v>
      </c>
      <c r="H90" s="15" t="s">
        <v>3215</v>
      </c>
      <c r="I90" s="16" t="str">
        <f aca="false">IF(AND(LEN(TRIM(A90&amp;""))&gt;0,TRIM(A90&amp;"")&lt;&gt;"—",LEN(TRIM(B90&amp;""))&gt;0,TRIM(B90&amp;"")&lt;&gt;"—",LEN(TRIM(E90&amp;""))&gt;0,TRIM(E90&amp;"")&lt;&gt;"—"),"PASS","⚠ FAIL — "&amp;"a required cell is empty/placeholder or wrong type")</f>
        <v>PASS</v>
      </c>
    </row>
    <row r="91" customFormat="false" ht="147.75" hidden="false" customHeight="false" outlineLevel="0" collapsed="false">
      <c r="A91" s="11" t="s">
        <v>3377</v>
      </c>
      <c r="B91" s="80" t="n">
        <v>214</v>
      </c>
      <c r="C91" s="11" t="s">
        <v>2994</v>
      </c>
      <c r="D91" s="11" t="s">
        <v>3273</v>
      </c>
      <c r="E91" s="11" t="s">
        <v>3352</v>
      </c>
      <c r="F91" s="15" t="s">
        <v>3378</v>
      </c>
      <c r="G91" s="15" t="s">
        <v>3379</v>
      </c>
      <c r="H91" s="15" t="s">
        <v>3282</v>
      </c>
      <c r="I91" s="16" t="str">
        <f aca="false">IF(AND(LEN(TRIM(A91&amp;""))&gt;0,TRIM(A91&amp;"")&lt;&gt;"—",LEN(TRIM(B91&amp;""))&gt;0,TRIM(B91&amp;"")&lt;&gt;"—",LEN(TRIM(E91&amp;""))&gt;0,TRIM(E91&amp;"")&lt;&gt;"—"),"PASS","⚠ FAIL — "&amp;"a required cell is empty/placeholder or wrong type")</f>
        <v>PASS</v>
      </c>
    </row>
    <row r="92" customFormat="false" ht="64.15" hidden="false" customHeight="false" outlineLevel="0" collapsed="false">
      <c r="A92" s="11" t="s">
        <v>3380</v>
      </c>
      <c r="B92" s="80" t="n">
        <v>125</v>
      </c>
      <c r="C92" s="11" t="s">
        <v>1571</v>
      </c>
      <c r="D92" s="11" t="s">
        <v>3278</v>
      </c>
      <c r="E92" s="11" t="s">
        <v>3352</v>
      </c>
      <c r="F92" s="15" t="s">
        <v>3378</v>
      </c>
      <c r="G92" s="15" t="s">
        <v>3381</v>
      </c>
      <c r="H92" s="15" t="s">
        <v>3170</v>
      </c>
      <c r="I92" s="16" t="str">
        <f aca="false">IF(AND(LEN(TRIM(A92&amp;""))&gt;0,TRIM(A92&amp;"")&lt;&gt;"—",LEN(TRIM(B92&amp;""))&gt;0,TRIM(B92&amp;"")&lt;&gt;"—",LEN(TRIM(E92&amp;""))&gt;0,TRIM(E92&amp;"")&lt;&gt;"—"),"PASS","⚠ FAIL — "&amp;"a required cell is empty/placeholder or wrong type")</f>
        <v>PASS</v>
      </c>
    </row>
    <row r="93" customFormat="false" ht="126.85" hidden="false" customHeight="false" outlineLevel="0" collapsed="false">
      <c r="A93" s="11" t="s">
        <v>3382</v>
      </c>
      <c r="B93" s="80" t="n">
        <v>280</v>
      </c>
      <c r="C93" s="11" t="s">
        <v>2994</v>
      </c>
      <c r="D93" s="11" t="s">
        <v>3273</v>
      </c>
      <c r="E93" s="11" t="s">
        <v>3352</v>
      </c>
      <c r="F93" s="15" t="s">
        <v>3378</v>
      </c>
      <c r="G93" s="15" t="s">
        <v>3383</v>
      </c>
      <c r="H93" s="15" t="s">
        <v>3282</v>
      </c>
      <c r="I93" s="16" t="str">
        <f aca="false">IF(AND(LEN(TRIM(A93&amp;""))&gt;0,TRIM(A93&amp;"")&lt;&gt;"—",LEN(TRIM(B93&amp;""))&gt;0,TRIM(B93&amp;"")&lt;&gt;"—",LEN(TRIM(E93&amp;""))&gt;0,TRIM(E93&amp;"")&lt;&gt;"—"),"PASS","⚠ FAIL — "&amp;"a required cell is empty/placeholder or wrong type")</f>
        <v>PASS</v>
      </c>
    </row>
    <row r="94" customFormat="false" ht="64.15" hidden="false" customHeight="false" outlineLevel="0" collapsed="false">
      <c r="A94" s="11" t="s">
        <v>3384</v>
      </c>
      <c r="B94" s="80" t="n">
        <v>125</v>
      </c>
      <c r="C94" s="11" t="s">
        <v>1571</v>
      </c>
      <c r="D94" s="11" t="s">
        <v>3278</v>
      </c>
      <c r="E94" s="11" t="s">
        <v>3352</v>
      </c>
      <c r="F94" s="15" t="s">
        <v>3378</v>
      </c>
      <c r="G94" s="15" t="s">
        <v>3385</v>
      </c>
      <c r="H94" s="15" t="s">
        <v>3170</v>
      </c>
      <c r="I94" s="16" t="str">
        <f aca="false">IF(AND(LEN(TRIM(A94&amp;""))&gt;0,TRIM(A94&amp;"")&lt;&gt;"—",LEN(TRIM(B94&amp;""))&gt;0,TRIM(B94&amp;"")&lt;&gt;"—",LEN(TRIM(E94&amp;""))&gt;0,TRIM(E94&amp;"")&lt;&gt;"—"),"PASS","⚠ FAIL — "&amp;"a required cell is empty/placeholder or wrong type")</f>
        <v>PASS</v>
      </c>
    </row>
    <row r="95" customFormat="false" ht="137.3" hidden="false" customHeight="false" outlineLevel="0" collapsed="false">
      <c r="A95" s="11" t="s">
        <v>3386</v>
      </c>
      <c r="B95" s="80" t="n">
        <v>8280</v>
      </c>
      <c r="C95" s="11" t="s">
        <v>2994</v>
      </c>
      <c r="D95" s="11" t="s">
        <v>3273</v>
      </c>
      <c r="E95" s="11" t="s">
        <v>3352</v>
      </c>
      <c r="F95" s="15" t="s">
        <v>3378</v>
      </c>
      <c r="G95" s="15" t="s">
        <v>3387</v>
      </c>
      <c r="H95" s="15" t="s">
        <v>3282</v>
      </c>
      <c r="I95" s="16" t="str">
        <f aca="false">IF(AND(LEN(TRIM(A95&amp;""))&gt;0,TRIM(A95&amp;"")&lt;&gt;"—",LEN(TRIM(B95&amp;""))&gt;0,TRIM(B95&amp;"")&lt;&gt;"—",LEN(TRIM(E95&amp;""))&gt;0,TRIM(E95&amp;"")&lt;&gt;"—"),"PASS","⚠ FAIL — "&amp;"a required cell is empty/placeholder or wrong type")</f>
        <v>PASS</v>
      </c>
    </row>
    <row r="96" customFormat="false" ht="64.15" hidden="false" customHeight="false" outlineLevel="0" collapsed="false">
      <c r="A96" s="11" t="s">
        <v>3388</v>
      </c>
      <c r="B96" s="80" t="n">
        <v>75</v>
      </c>
      <c r="C96" s="11" t="s">
        <v>1571</v>
      </c>
      <c r="D96" s="11" t="s">
        <v>3278</v>
      </c>
      <c r="E96" s="11" t="s">
        <v>3352</v>
      </c>
      <c r="F96" s="15" t="s">
        <v>3378</v>
      </c>
      <c r="G96" s="15" t="s">
        <v>3389</v>
      </c>
      <c r="H96" s="15" t="s">
        <v>3170</v>
      </c>
      <c r="I96" s="16" t="str">
        <f aca="false">IF(AND(LEN(TRIM(A96&amp;""))&gt;0,TRIM(A96&amp;"")&lt;&gt;"—",LEN(TRIM(B96&amp;""))&gt;0,TRIM(B96&amp;"")&lt;&gt;"—",LEN(TRIM(E96&amp;""))&gt;0,TRIM(E96&amp;"")&lt;&gt;"—"),"PASS","⚠ FAIL — "&amp;"a required cell is empty/placeholder or wrong type")</f>
        <v>PASS</v>
      </c>
    </row>
    <row r="97" customFormat="false" ht="137.3" hidden="false" customHeight="false" outlineLevel="0" collapsed="false">
      <c r="A97" s="11" t="s">
        <v>3390</v>
      </c>
      <c r="B97" s="80" t="n">
        <v>4200</v>
      </c>
      <c r="C97" s="11" t="s">
        <v>2994</v>
      </c>
      <c r="D97" s="11" t="s">
        <v>3273</v>
      </c>
      <c r="E97" s="11" t="s">
        <v>3352</v>
      </c>
      <c r="F97" s="15" t="s">
        <v>3378</v>
      </c>
      <c r="G97" s="15" t="s">
        <v>3391</v>
      </c>
      <c r="H97" s="15" t="s">
        <v>3282</v>
      </c>
      <c r="I97" s="16" t="str">
        <f aca="false">IF(AND(LEN(TRIM(A97&amp;""))&gt;0,TRIM(A97&amp;"")&lt;&gt;"—",LEN(TRIM(B97&amp;""))&gt;0,TRIM(B97&amp;"")&lt;&gt;"—",LEN(TRIM(E97&amp;""))&gt;0,TRIM(E97&amp;"")&lt;&gt;"—"),"PASS","⚠ FAIL — "&amp;"a required cell is empty/placeholder or wrong type")</f>
        <v>PASS</v>
      </c>
    </row>
    <row r="98" customFormat="false" ht="64.15" hidden="false" customHeight="false" outlineLevel="0" collapsed="false">
      <c r="A98" s="11" t="s">
        <v>3392</v>
      </c>
      <c r="B98" s="80" t="n">
        <v>110</v>
      </c>
      <c r="C98" s="11" t="s">
        <v>1571</v>
      </c>
      <c r="D98" s="11" t="s">
        <v>3278</v>
      </c>
      <c r="E98" s="11" t="s">
        <v>3352</v>
      </c>
      <c r="F98" s="15" t="s">
        <v>3378</v>
      </c>
      <c r="G98" s="15" t="s">
        <v>3393</v>
      </c>
      <c r="H98" s="15" t="s">
        <v>3170</v>
      </c>
      <c r="I98" s="16" t="str">
        <f aca="false">IF(AND(LEN(TRIM(A98&amp;""))&gt;0,TRIM(A98&amp;"")&lt;&gt;"—",LEN(TRIM(B98&amp;""))&gt;0,TRIM(B98&amp;"")&lt;&gt;"—",LEN(TRIM(E98&amp;""))&gt;0,TRIM(E98&amp;"")&lt;&gt;"—"),"PASS","⚠ FAIL — "&amp;"a required cell is empty/placeholder or wrong type")</f>
        <v>PASS</v>
      </c>
    </row>
    <row r="99" customFormat="false" ht="126.85" hidden="false" customHeight="false" outlineLevel="0" collapsed="false">
      <c r="A99" s="11" t="s">
        <v>3394</v>
      </c>
      <c r="B99" s="80" t="n">
        <v>1656</v>
      </c>
      <c r="C99" s="11" t="s">
        <v>2994</v>
      </c>
      <c r="D99" s="11" t="s">
        <v>3273</v>
      </c>
      <c r="E99" s="11" t="s">
        <v>3352</v>
      </c>
      <c r="F99" s="15" t="s">
        <v>3378</v>
      </c>
      <c r="G99" s="15" t="s">
        <v>3395</v>
      </c>
      <c r="H99" s="15" t="s">
        <v>3282</v>
      </c>
      <c r="I99" s="16" t="str">
        <f aca="false">IF(AND(LEN(TRIM(A99&amp;""))&gt;0,TRIM(A99&amp;"")&lt;&gt;"—",LEN(TRIM(B99&amp;""))&gt;0,TRIM(B99&amp;"")&lt;&gt;"—",LEN(TRIM(E99&amp;""))&gt;0,TRIM(E99&amp;"")&lt;&gt;"—"),"PASS","⚠ FAIL — "&amp;"a required cell is empty/placeholder or wrong type")</f>
        <v>PASS</v>
      </c>
    </row>
    <row r="100" customFormat="false" ht="64.15" hidden="false" customHeight="false" outlineLevel="0" collapsed="false">
      <c r="A100" s="11" t="s">
        <v>3396</v>
      </c>
      <c r="B100" s="80" t="n">
        <v>110</v>
      </c>
      <c r="C100" s="11" t="s">
        <v>1571</v>
      </c>
      <c r="D100" s="11" t="s">
        <v>3278</v>
      </c>
      <c r="E100" s="11" t="s">
        <v>3352</v>
      </c>
      <c r="F100" s="15" t="s">
        <v>3378</v>
      </c>
      <c r="G100" s="15" t="s">
        <v>3397</v>
      </c>
      <c r="H100" s="15" t="s">
        <v>3170</v>
      </c>
      <c r="I100" s="16" t="str">
        <f aca="false">IF(AND(LEN(TRIM(A100&amp;""))&gt;0,TRIM(A100&amp;"")&lt;&gt;"—",LEN(TRIM(B100&amp;""))&gt;0,TRIM(B100&amp;"")&lt;&gt;"—",LEN(TRIM(E100&amp;""))&gt;0,TRIM(E100&amp;"")&lt;&gt;"—"),"PASS","⚠ FAIL — "&amp;"a required cell is empty/placeholder or wrong type")</f>
        <v>PASS</v>
      </c>
    </row>
    <row r="101" customFormat="false" ht="126.85" hidden="false" customHeight="false" outlineLevel="0" collapsed="false">
      <c r="A101" s="11" t="s">
        <v>3398</v>
      </c>
      <c r="B101" s="80" t="n">
        <v>214</v>
      </c>
      <c r="C101" s="11" t="s">
        <v>2994</v>
      </c>
      <c r="D101" s="11" t="s">
        <v>3273</v>
      </c>
      <c r="E101" s="11" t="s">
        <v>3352</v>
      </c>
      <c r="F101" s="15" t="s">
        <v>3378</v>
      </c>
      <c r="G101" s="15" t="s">
        <v>3399</v>
      </c>
      <c r="H101" s="15" t="s">
        <v>3282</v>
      </c>
      <c r="I101" s="16" t="str">
        <f aca="false">IF(AND(LEN(TRIM(A101&amp;""))&gt;0,TRIM(A101&amp;"")&lt;&gt;"—",LEN(TRIM(B101&amp;""))&gt;0,TRIM(B101&amp;"")&lt;&gt;"—",LEN(TRIM(E101&amp;""))&gt;0,TRIM(E101&amp;"")&lt;&gt;"—"),"PASS","⚠ FAIL — "&amp;"a required cell is empty/placeholder or wrong type")</f>
        <v>PASS</v>
      </c>
    </row>
    <row r="102" customFormat="false" ht="64.15" hidden="false" customHeight="false" outlineLevel="0" collapsed="false">
      <c r="A102" s="11" t="s">
        <v>3400</v>
      </c>
      <c r="B102" s="80" t="n">
        <v>160</v>
      </c>
      <c r="C102" s="11" t="s">
        <v>1571</v>
      </c>
      <c r="D102" s="11" t="s">
        <v>3278</v>
      </c>
      <c r="E102" s="11" t="s">
        <v>3352</v>
      </c>
      <c r="F102" s="15" t="s">
        <v>3378</v>
      </c>
      <c r="G102" s="15" t="s">
        <v>3401</v>
      </c>
      <c r="H102" s="15" t="s">
        <v>3170</v>
      </c>
      <c r="I102" s="16" t="str">
        <f aca="false">IF(AND(LEN(TRIM(A102&amp;""))&gt;0,TRIM(A102&amp;"")&lt;&gt;"—",LEN(TRIM(B102&amp;""))&gt;0,TRIM(B102&amp;"")&lt;&gt;"—",LEN(TRIM(E102&amp;""))&gt;0,TRIM(E102&amp;"")&lt;&gt;"—"),"PASS","⚠ FAIL — "&amp;"a required cell is empty/placeholder or wrong type")</f>
        <v>PASS</v>
      </c>
    </row>
    <row r="103" customFormat="false" ht="137.3" hidden="false" customHeight="false" outlineLevel="0" collapsed="false">
      <c r="A103" s="11" t="s">
        <v>3402</v>
      </c>
      <c r="B103" s="80" t="n">
        <v>14.844</v>
      </c>
      <c r="C103" s="11" t="s">
        <v>3403</v>
      </c>
      <c r="D103" s="11" t="s">
        <v>3273</v>
      </c>
      <c r="E103" s="11" t="s">
        <v>3352</v>
      </c>
      <c r="F103" s="15" t="s">
        <v>3378</v>
      </c>
      <c r="G103" s="15" t="s">
        <v>3404</v>
      </c>
      <c r="H103" s="15" t="s">
        <v>3170</v>
      </c>
      <c r="I103" s="16" t="str">
        <f aca="false">IF(AND(LEN(TRIM(A103&amp;""))&gt;0,TRIM(A103&amp;"")&lt;&gt;"—",LEN(TRIM(B103&amp;""))&gt;0,TRIM(B103&amp;"")&lt;&gt;"—",LEN(TRIM(E103&amp;""))&gt;0,TRIM(E103&amp;"")&lt;&gt;"—"),"PASS","⚠ FAIL — "&amp;"a required cell is empty/placeholder or wrong type")</f>
        <v>PASS</v>
      </c>
    </row>
    <row r="104" customFormat="false" ht="43.25" hidden="false" customHeight="false" outlineLevel="0" collapsed="false">
      <c r="A104" s="11" t="s">
        <v>3405</v>
      </c>
      <c r="B104" s="80" t="n">
        <v>200</v>
      </c>
      <c r="C104" s="11"/>
      <c r="D104" s="11" t="s">
        <v>22</v>
      </c>
      <c r="E104" s="11" t="s">
        <v>3352</v>
      </c>
      <c r="F104" s="15" t="s">
        <v>3378</v>
      </c>
      <c r="G104" s="15" t="s">
        <v>3406</v>
      </c>
      <c r="H104" s="15" t="s">
        <v>3170</v>
      </c>
      <c r="I104" s="16" t="str">
        <f aca="false">IF(AND(LEN(TRIM(A104&amp;""))&gt;0,TRIM(A104&amp;"")&lt;&gt;"—",LEN(TRIM(B104&amp;""))&gt;0,TRIM(B104&amp;"")&lt;&gt;"—",LEN(TRIM(E104&amp;""))&gt;0,TRIM(E104&amp;"")&lt;&gt;"—"),"PASS","⚠ FAIL — "&amp;"a required cell is empty/placeholder or wrong type")</f>
        <v>PASS</v>
      </c>
    </row>
    <row r="105" customFormat="false" ht="43.25" hidden="false" customHeight="false" outlineLevel="0" collapsed="false">
      <c r="A105" s="11" t="s">
        <v>3407</v>
      </c>
      <c r="B105" s="80" t="n">
        <v>6000</v>
      </c>
      <c r="C105" s="11"/>
      <c r="D105" s="11" t="s">
        <v>22</v>
      </c>
      <c r="E105" s="11" t="s">
        <v>3352</v>
      </c>
      <c r="F105" s="15" t="s">
        <v>3378</v>
      </c>
      <c r="G105" s="15" t="s">
        <v>3408</v>
      </c>
      <c r="H105" s="15" t="s">
        <v>3170</v>
      </c>
      <c r="I105" s="16" t="str">
        <f aca="false">IF(AND(LEN(TRIM(A105&amp;""))&gt;0,TRIM(A105&amp;"")&lt;&gt;"—",LEN(TRIM(B105&amp;""))&gt;0,TRIM(B105&amp;"")&lt;&gt;"—",LEN(TRIM(E105&amp;""))&gt;0,TRIM(E105&amp;"")&lt;&gt;"—"),"PASS","⚠ FAIL — "&amp;"a required cell is empty/placeholder or wrong type")</f>
        <v>PASS</v>
      </c>
    </row>
    <row r="106" customFormat="false" ht="43.25" hidden="false" customHeight="false" outlineLevel="0" collapsed="false">
      <c r="A106" s="11" t="s">
        <v>3409</v>
      </c>
      <c r="B106" s="80" t="n">
        <v>3000</v>
      </c>
      <c r="C106" s="11"/>
      <c r="D106" s="11" t="s">
        <v>22</v>
      </c>
      <c r="E106" s="11" t="s">
        <v>3352</v>
      </c>
      <c r="F106" s="15" t="s">
        <v>3378</v>
      </c>
      <c r="G106" s="15" t="s">
        <v>3410</v>
      </c>
      <c r="H106" s="15" t="s">
        <v>3170</v>
      </c>
      <c r="I106" s="16" t="str">
        <f aca="false">IF(AND(LEN(TRIM(A106&amp;""))&gt;0,TRIM(A106&amp;"")&lt;&gt;"—",LEN(TRIM(B106&amp;""))&gt;0,TRIM(B106&amp;"")&lt;&gt;"—",LEN(TRIM(E106&amp;""))&gt;0,TRIM(E106&amp;"")&lt;&gt;"—"),"PASS","⚠ FAIL — "&amp;"a required cell is empty/placeholder or wrong type")</f>
        <v>PASS</v>
      </c>
    </row>
    <row r="107" customFormat="false" ht="53.7" hidden="false" customHeight="false" outlineLevel="0" collapsed="false">
      <c r="A107" s="11" t="s">
        <v>3411</v>
      </c>
      <c r="B107" s="80" t="n">
        <v>2</v>
      </c>
      <c r="C107" s="11"/>
      <c r="D107" s="11" t="s">
        <v>22</v>
      </c>
      <c r="E107" s="11" t="s">
        <v>3352</v>
      </c>
      <c r="F107" s="15" t="s">
        <v>3378</v>
      </c>
      <c r="G107" s="15" t="s">
        <v>3412</v>
      </c>
      <c r="H107" s="15" t="s">
        <v>3413</v>
      </c>
      <c r="I107" s="16" t="str">
        <f aca="false">IF(AND(LEN(TRIM(A107&amp;""))&gt;0,TRIM(A107&amp;"")&lt;&gt;"—",LEN(TRIM(B107&amp;""))&gt;0,TRIM(B107&amp;"")&lt;&gt;"—",LEN(TRIM(E107&amp;""))&gt;0,TRIM(E107&amp;"")&lt;&gt;"—"),"PASS","⚠ FAIL — "&amp;"a required cell is empty/placeholder or wrong type")</f>
        <v>PASS</v>
      </c>
    </row>
    <row r="108" customFormat="false" ht="74.6" hidden="false" customHeight="false" outlineLevel="0" collapsed="false">
      <c r="A108" s="11" t="s">
        <v>3414</v>
      </c>
      <c r="B108" s="80" t="n">
        <v>45</v>
      </c>
      <c r="C108" s="11" t="s">
        <v>33</v>
      </c>
      <c r="D108" s="11" t="s">
        <v>3153</v>
      </c>
      <c r="E108" s="11" t="s">
        <v>3352</v>
      </c>
      <c r="F108" s="15" t="s">
        <v>3378</v>
      </c>
      <c r="G108" s="15" t="s">
        <v>3415</v>
      </c>
      <c r="H108" s="15" t="s">
        <v>3413</v>
      </c>
      <c r="I108" s="16" t="str">
        <f aca="false">IF(AND(LEN(TRIM(A108&amp;""))&gt;0,TRIM(A108&amp;"")&lt;&gt;"—",LEN(TRIM(B108&amp;""))&gt;0,TRIM(B108&amp;"")&lt;&gt;"—",LEN(TRIM(E108&amp;""))&gt;0,TRIM(E108&amp;"")&lt;&gt;"—"),"PASS","⚠ FAIL — "&amp;"a required cell is empty/placeholder or wrong type")</f>
        <v>PASS</v>
      </c>
    </row>
    <row r="109" customFormat="false" ht="137.3" hidden="false" customHeight="false" outlineLevel="0" collapsed="false">
      <c r="A109" s="11" t="s">
        <v>3416</v>
      </c>
      <c r="B109" s="80" t="n">
        <v>428</v>
      </c>
      <c r="C109" s="11" t="s">
        <v>2994</v>
      </c>
      <c r="D109" s="11" t="s">
        <v>3273</v>
      </c>
      <c r="E109" s="11" t="s">
        <v>3352</v>
      </c>
      <c r="F109" s="15" t="s">
        <v>3353</v>
      </c>
      <c r="G109" s="15" t="s">
        <v>3417</v>
      </c>
      <c r="H109" s="15" t="s">
        <v>3282</v>
      </c>
      <c r="I109" s="16" t="str">
        <f aca="false">IF(AND(LEN(TRIM(A109&amp;""))&gt;0,TRIM(A109&amp;"")&lt;&gt;"—",LEN(TRIM(B109&amp;""))&gt;0,TRIM(B109&amp;"")&lt;&gt;"—",LEN(TRIM(E109&amp;""))&gt;0,TRIM(E109&amp;"")&lt;&gt;"—"),"PASS","⚠ FAIL — "&amp;"a required cell is empty/placeholder or wrong type")</f>
        <v>PASS</v>
      </c>
    </row>
    <row r="110" customFormat="false" ht="85.05" hidden="false" customHeight="false" outlineLevel="0" collapsed="false">
      <c r="A110" s="11" t="s">
        <v>3418</v>
      </c>
      <c r="B110" s="80" t="n">
        <v>90</v>
      </c>
      <c r="C110" s="11" t="s">
        <v>1571</v>
      </c>
      <c r="D110" s="11" t="s">
        <v>3278</v>
      </c>
      <c r="E110" s="11" t="s">
        <v>3352</v>
      </c>
      <c r="F110" s="15" t="s">
        <v>3353</v>
      </c>
      <c r="G110" s="15" t="s">
        <v>3419</v>
      </c>
      <c r="H110" s="15" t="s">
        <v>3170</v>
      </c>
      <c r="I110" s="16" t="str">
        <f aca="false">IF(AND(LEN(TRIM(A110&amp;""))&gt;0,TRIM(A110&amp;"")&lt;&gt;"—",LEN(TRIM(B110&amp;""))&gt;0,TRIM(B110&amp;"")&lt;&gt;"—",LEN(TRIM(E110&amp;""))&gt;0,TRIM(E110&amp;"")&lt;&gt;"—"),"PASS","⚠ FAIL — "&amp;"a required cell is empty/placeholder or wrong type")</f>
        <v>PASS</v>
      </c>
    </row>
    <row r="111" customFormat="false" ht="64.15" hidden="false" customHeight="false" outlineLevel="0" collapsed="false">
      <c r="A111" s="11" t="s">
        <v>3420</v>
      </c>
      <c r="B111" s="80" t="n">
        <v>44</v>
      </c>
      <c r="C111" s="11"/>
      <c r="D111" s="11" t="s">
        <v>22</v>
      </c>
      <c r="E111" s="11" t="s">
        <v>3352</v>
      </c>
      <c r="F111" s="15" t="s">
        <v>3353</v>
      </c>
      <c r="G111" s="15" t="s">
        <v>3421</v>
      </c>
      <c r="H111" s="15" t="s">
        <v>3170</v>
      </c>
      <c r="I111" s="16" t="str">
        <f aca="false">IF(AND(LEN(TRIM(A111&amp;""))&gt;0,TRIM(A111&amp;"")&lt;&gt;"—",LEN(TRIM(B111&amp;""))&gt;0,TRIM(B111&amp;"")&lt;&gt;"—",LEN(TRIM(E111&amp;""))&gt;0,TRIM(E111&amp;"")&lt;&gt;"—"),"PASS","⚠ FAIL — "&amp;"a required cell is empty/placeholder or wrong type")</f>
        <v>PASS</v>
      </c>
    </row>
    <row r="112" customFormat="false" ht="43.25" hidden="false" customHeight="false" outlineLevel="0" collapsed="false">
      <c r="A112" s="11" t="s">
        <v>2980</v>
      </c>
      <c r="B112" s="80" t="n">
        <f aca="false">ROUND(B58*1000/(SQRT(3)*400*0.9)*1.25,0)</f>
        <v>106</v>
      </c>
      <c r="C112" s="11" t="s">
        <v>1568</v>
      </c>
      <c r="D112" s="11" t="s">
        <v>3306</v>
      </c>
      <c r="E112" s="11" t="s">
        <v>3158</v>
      </c>
      <c r="F112" s="15" t="s">
        <v>3422</v>
      </c>
      <c r="G112" s="15" t="s">
        <v>2981</v>
      </c>
      <c r="H112" s="15" t="s">
        <v>3423</v>
      </c>
      <c r="I112" s="16" t="str">
        <f aca="false">IF(AND(LEN(TRIM(A112&amp;""))&gt;0,TRIM(A112&amp;"")&lt;&gt;"—",LEN(TRIM(B112&amp;""))&gt;0,TRIM(B112&amp;"")&lt;&gt;"—",LEN(TRIM(E112&amp;""))&gt;0,TRIM(E112&amp;"")&lt;&gt;"—"),"PASS","⚠ FAIL — "&amp;"a required cell is empty/placeholder or wrong type")</f>
        <v>PASS</v>
      </c>
    </row>
    <row r="113" customFormat="false" ht="43.25" hidden="false" customHeight="false" outlineLevel="0" collapsed="false">
      <c r="A113" s="11" t="s">
        <v>2984</v>
      </c>
      <c r="B113" s="80" t="n">
        <v>125</v>
      </c>
      <c r="C113" s="11" t="s">
        <v>1568</v>
      </c>
      <c r="D113" s="11" t="s">
        <v>3306</v>
      </c>
      <c r="E113" s="11" t="s">
        <v>3158</v>
      </c>
      <c r="F113" s="15" t="s">
        <v>3424</v>
      </c>
      <c r="G113" s="15" t="s">
        <v>2981</v>
      </c>
      <c r="H113" s="15" t="s">
        <v>3425</v>
      </c>
      <c r="I113" s="16" t="str">
        <f aca="false">IF(AND(LEN(TRIM(A113&amp;""))&gt;0,TRIM(A113&amp;"")&lt;&gt;"—",LEN(TRIM(B113&amp;""))&gt;0,TRIM(B113&amp;"")&lt;&gt;"—",LEN(TRIM(E113&amp;""))&gt;0,TRIM(E113&amp;"")&lt;&gt;"—"),"PASS","⚠ FAIL — "&amp;"a required cell is empty/placeholder or wrong type")</f>
        <v>PASS</v>
      </c>
    </row>
    <row r="114" customFormat="false" ht="53.7" hidden="false" customHeight="false" outlineLevel="0" collapsed="false">
      <c r="A114" s="11" t="s">
        <v>3426</v>
      </c>
      <c r="B114" s="80" t="n">
        <v>14.5</v>
      </c>
      <c r="C114" s="11" t="s">
        <v>33</v>
      </c>
      <c r="D114" s="11" t="s">
        <v>3153</v>
      </c>
      <c r="E114" s="11" t="s">
        <v>3352</v>
      </c>
      <c r="F114" s="15" t="s">
        <v>3190</v>
      </c>
      <c r="G114" s="15" t="s">
        <v>3427</v>
      </c>
      <c r="H114" s="15" t="s">
        <v>3170</v>
      </c>
      <c r="I114" s="16" t="str">
        <f aca="false">IF(AND(LEN(TRIM(A114&amp;""))&gt;0,TRIM(A114&amp;"")&lt;&gt;"—",LEN(TRIM(B114&amp;""))&gt;0,TRIM(B114&amp;"")&lt;&gt;"—",LEN(TRIM(E114&amp;""))&gt;0,TRIM(E114&amp;"")&lt;&gt;"—"),"PASS","⚠ FAIL — "&amp;"a required cell is empty/placeholder or wrong type")</f>
        <v>PASS</v>
      </c>
    </row>
    <row r="115" customFormat="false" ht="64.15" hidden="false" customHeight="false" outlineLevel="0" collapsed="false">
      <c r="A115" s="11" t="s">
        <v>3428</v>
      </c>
      <c r="B115" s="80" t="n">
        <v>45</v>
      </c>
      <c r="C115" s="11" t="s">
        <v>33</v>
      </c>
      <c r="D115" s="11" t="s">
        <v>3153</v>
      </c>
      <c r="E115" s="11" t="s">
        <v>3352</v>
      </c>
      <c r="F115" s="15" t="s">
        <v>3359</v>
      </c>
      <c r="G115" s="15" t="s">
        <v>3429</v>
      </c>
      <c r="H115" s="15" t="s">
        <v>3170</v>
      </c>
      <c r="I115" s="16" t="str">
        <f aca="false">IF(AND(LEN(TRIM(A115&amp;""))&gt;0,TRIM(A115&amp;"")&lt;&gt;"—",LEN(TRIM(B115&amp;""))&gt;0,TRIM(B115&amp;"")&lt;&gt;"—",LEN(TRIM(E115&amp;""))&gt;0,TRIM(E115&amp;"")&lt;&gt;"—"),"PASS","⚠ FAIL — "&amp;"a required cell is empty/placeholder or wrong type")</f>
        <v>PASS</v>
      </c>
    </row>
    <row r="116" customFormat="false" ht="22.35" hidden="false" customHeight="false" outlineLevel="0" collapsed="false">
      <c r="A116" s="11" t="s">
        <v>3430</v>
      </c>
      <c r="B116" s="80" t="n">
        <v>1021.9</v>
      </c>
      <c r="C116" s="11" t="s">
        <v>2994</v>
      </c>
      <c r="D116" s="11" t="s">
        <v>3431</v>
      </c>
      <c r="E116" s="11" t="s">
        <v>3432</v>
      </c>
      <c r="F116" s="15" t="s">
        <v>3433</v>
      </c>
      <c r="G116" s="15" t="s">
        <v>3434</v>
      </c>
      <c r="H116" s="15" t="s">
        <v>3282</v>
      </c>
      <c r="I116" s="16" t="str">
        <f aca="false">IF(AND(LEN(TRIM(A116&amp;""))&gt;0,TRIM(A116&amp;"")&lt;&gt;"—",LEN(TRIM(B116&amp;""))&gt;0,TRIM(B116&amp;"")&lt;&gt;"—",LEN(TRIM(E116&amp;""))&gt;0,TRIM(E116&amp;"")&lt;&gt;"—"),"PASS","⚠ FAIL — "&amp;"a required cell is empty/placeholder or wrong type")</f>
        <v>PASS</v>
      </c>
    </row>
    <row r="117" customFormat="false" ht="53.7" hidden="false" customHeight="false" outlineLevel="0" collapsed="false">
      <c r="A117" s="11" t="s">
        <v>3293</v>
      </c>
      <c r="B117" s="80" t="n">
        <v>75</v>
      </c>
      <c r="C117" s="11" t="s">
        <v>1585</v>
      </c>
      <c r="D117" s="11" t="s">
        <v>3114</v>
      </c>
      <c r="E117" s="11" t="s">
        <v>3435</v>
      </c>
      <c r="F117" s="15" t="s">
        <v>3436</v>
      </c>
      <c r="G117" s="15" t="s">
        <v>3437</v>
      </c>
      <c r="H117" s="15" t="s">
        <v>3282</v>
      </c>
      <c r="I117" s="16" t="str">
        <f aca="false">IF(AND(LEN(TRIM(A117&amp;""))&gt;0,TRIM(A117&amp;"")&lt;&gt;"—",LEN(TRIM(B117&amp;""))&gt;0,TRIM(B117&amp;"")&lt;&gt;"—",LEN(TRIM(E117&amp;""))&gt;0,TRIM(E117&amp;"")&lt;&gt;"—"),"PASS","⚠ FAIL — "&amp;"a required cell is empty/placeholder or wrong type")</f>
        <v>PASS</v>
      </c>
    </row>
  </sheetData>
  <autoFilter ref="A4:H117"/>
  <mergeCells count="3">
    <mergeCell ref="A1:H1"/>
    <mergeCell ref="A2:H2"/>
    <mergeCell ref="A3:H3"/>
  </mergeCells>
  <hyperlinks>
    <hyperlink ref="I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7F7F"/>
    <pageSetUpPr fitToPage="false"/>
  </sheetPr>
  <dimension ref="A1:I46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0"/>
    <col collapsed="false" customWidth="true" hidden="false" outlineLevel="0" max="2" min="2" style="0" width="18"/>
    <col collapsed="false" customWidth="true" hidden="false" outlineLevel="0" max="3" min="3" style="0" width="12"/>
    <col collapsed="false" customWidth="true" hidden="false" outlineLevel="0" max="4" min="4" style="0" width="46"/>
    <col collapsed="false" customWidth="true" hidden="false" outlineLevel="0" max="5" min="5" style="0" width="16"/>
    <col collapsed="false" customWidth="true" hidden="false" outlineLevel="0" max="6" min="6" style="0" width="12"/>
    <col collapsed="false" customWidth="true" hidden="false" outlineLevel="0" max="7" min="7" style="0" width="10"/>
    <col collapsed="false" customWidth="true" hidden="false" outlineLevel="0" max="8" min="8" style="0" width="64"/>
    <col collapsed="false" customWidth="true" hidden="false" outlineLevel="0" max="9" min="9" style="0" width="13"/>
  </cols>
  <sheetData>
    <row r="1" customFormat="false" ht="25.5" hidden="false" customHeight="true" outlineLevel="0" collapsed="false">
      <c r="A1" s="1" t="s">
        <v>3438</v>
      </c>
      <c r="B1" s="1"/>
      <c r="C1" s="1"/>
      <c r="D1" s="1"/>
      <c r="E1" s="1"/>
      <c r="F1" s="1"/>
      <c r="G1" s="1"/>
      <c r="H1" s="1"/>
      <c r="I1" s="24" t="s">
        <v>140</v>
      </c>
    </row>
    <row r="2" customFormat="false" ht="30" hidden="false" customHeight="true" outlineLevel="0" collapsed="false">
      <c r="A2" s="2" t="str">
        <f aca="false">"⬤ TAB QUALITY "&amp;IF(ISNUMBER('Quality &amp; Audit'!$B$30),IF('Quality &amp; Audit'!$B$30=INT('Quality &amp; Audit'!$B$30),TEXT('Quality &amp; Audit'!$B$30,"0"),TEXT('Quality &amp; Audit'!$B$30,"0.0")),"—")&amp;"/10 · "&amp;IF(ISNUMBER('Quality &amp; Audit'!$B$30),IF('Quality &amp; Audit'!$B$30&gt;=8,"PASS","FAIL"),"UNSCORED")&amp;" (target ≥8, live from the Quality &amp; Audit score cell)"&amp;" · worked-calc coverage (every definition resolves to a computed result; inputs populated) + tool-flow consumption — worked-calc definitions resolve to a computed result 13…"&amp;" · full audit: Quality &amp; Audit tab"</f>
        <v>⬤ TAB QUALITY 10/10 · PASS (target ≥8, live from the Quality &amp; Audit score cell) · worked-calc coverage (every definition resolves to a computed result; inputs populated) + tool-flow consumption — worked-calc definitions resolve to a computed result 13… · full audit: Quality &amp; Audit tab</v>
      </c>
      <c r="B2" s="2"/>
      <c r="C2" s="2"/>
      <c r="D2" s="2"/>
      <c r="E2" s="2"/>
      <c r="F2" s="2"/>
      <c r="G2" s="2"/>
      <c r="H2" s="2"/>
    </row>
    <row r="3" customFormat="false" ht="40.5" hidden="false" customHeight="true" outlineLevel="0" collapsed="false">
      <c r="A3" s="3" t="s">
        <v>3439</v>
      </c>
      <c r="B3" s="3"/>
      <c r="C3" s="3"/>
      <c r="D3" s="3"/>
      <c r="E3" s="3"/>
      <c r="F3" s="3"/>
      <c r="G3" s="3"/>
      <c r="H3" s="3"/>
    </row>
    <row r="4" customFormat="false" ht="15" hidden="false" customHeight="false" outlineLevel="0" collapsed="false">
      <c r="A4" s="8" t="s">
        <v>3440</v>
      </c>
      <c r="B4" s="8"/>
      <c r="C4" s="8"/>
      <c r="D4" s="8"/>
      <c r="E4" s="8"/>
      <c r="F4" s="8"/>
      <c r="G4" s="8"/>
      <c r="H4" s="8"/>
    </row>
    <row r="5" customFormat="false" ht="15" hidden="false" customHeight="false" outlineLevel="0" collapsed="false">
      <c r="A5" s="9" t="s">
        <v>3441</v>
      </c>
      <c r="B5" s="9" t="s">
        <v>160</v>
      </c>
      <c r="C5" s="9" t="s">
        <v>15</v>
      </c>
      <c r="D5" s="9" t="s">
        <v>19</v>
      </c>
      <c r="E5" s="10" t="s">
        <v>20</v>
      </c>
    </row>
    <row r="6" customFormat="false" ht="15" hidden="false" customHeight="false" outlineLevel="0" collapsed="false">
      <c r="A6" s="123" t="s">
        <v>3442</v>
      </c>
      <c r="B6" s="124" t="n">
        <v>1000</v>
      </c>
      <c r="C6" s="0" t="s">
        <v>1592</v>
      </c>
      <c r="D6" s="10" t="s">
        <v>3443</v>
      </c>
      <c r="E6" s="16" t="str">
        <f aca="false">IF(AND(LEN(TRIM(A6&amp;""))&gt;0,TRIM(A6&amp;"")&lt;&gt;"—",LEN(TRIM(B6&amp;""))&gt;0,TRIM(B6&amp;"")&lt;&gt;"—"),"PASS","⚠ FAIL — "&amp;"a required cell is empty/placeholder or wrong type")</f>
        <v>PASS</v>
      </c>
    </row>
    <row r="7" customFormat="false" ht="15" hidden="false" customHeight="false" outlineLevel="0" collapsed="false">
      <c r="A7" s="123" t="s">
        <v>3444</v>
      </c>
      <c r="B7" s="124" t="n">
        <v>1.2</v>
      </c>
      <c r="C7" s="0" t="s">
        <v>1592</v>
      </c>
      <c r="D7" s="10" t="s">
        <v>3445</v>
      </c>
      <c r="E7" s="16" t="str">
        <f aca="false">IF(AND(LEN(TRIM(A7&amp;""))&gt;0,TRIM(A7&amp;"")&lt;&gt;"—",LEN(TRIM(B7&amp;""))&gt;0,TRIM(B7&amp;"")&lt;&gt;"—"),"PASS","⚠ FAIL — "&amp;"a required cell is empty/placeholder or wrong type")</f>
        <v>PASS</v>
      </c>
    </row>
    <row r="8" customFormat="false" ht="15" hidden="false" customHeight="false" outlineLevel="0" collapsed="false">
      <c r="A8" s="123" t="s">
        <v>3446</v>
      </c>
      <c r="B8" s="124" t="n">
        <v>9.8066</v>
      </c>
      <c r="C8" s="0" t="s">
        <v>3447</v>
      </c>
      <c r="D8" s="10" t="s">
        <v>3448</v>
      </c>
      <c r="E8" s="16" t="str">
        <f aca="false">IF(AND(LEN(TRIM(A8&amp;""))&gt;0,TRIM(A8&amp;"")&lt;&gt;"—",LEN(TRIM(B8&amp;""))&gt;0,TRIM(B8&amp;"")&lt;&gt;"—"),"PASS","⚠ FAIL — "&amp;"a required cell is empty/placeholder or wrong type")</f>
        <v>PASS</v>
      </c>
    </row>
    <row r="9" customFormat="false" ht="15" hidden="false" customHeight="false" outlineLevel="0" collapsed="false">
      <c r="A9" s="123" t="s">
        <v>3449</v>
      </c>
      <c r="B9" s="124" t="n">
        <v>3.14159265358979</v>
      </c>
      <c r="C9" s="0" t="s">
        <v>3450</v>
      </c>
      <c r="D9" s="10" t="s">
        <v>3451</v>
      </c>
      <c r="E9" s="16" t="str">
        <f aca="false">IF(AND(LEN(TRIM(A9&amp;""))&gt;0,TRIM(A9&amp;"")&lt;&gt;"—",LEN(TRIM(B9&amp;""))&gt;0,TRIM(B9&amp;"")&lt;&gt;"—"),"PASS","⚠ FAIL — "&amp;"a required cell is empty/placeholder or wrong type")</f>
        <v>PASS</v>
      </c>
    </row>
    <row r="10" customFormat="false" ht="15" hidden="false" customHeight="false" outlineLevel="0" collapsed="false">
      <c r="A10" s="123" t="s">
        <v>3452</v>
      </c>
      <c r="B10" s="124" t="n">
        <v>0.001</v>
      </c>
      <c r="C10" s="0" t="s">
        <v>3453</v>
      </c>
      <c r="D10" s="10" t="s">
        <v>3454</v>
      </c>
      <c r="E10" s="16" t="str">
        <f aca="false">IF(AND(LEN(TRIM(A10&amp;""))&gt;0,TRIM(A10&amp;"")&lt;&gt;"—",LEN(TRIM(B10&amp;""))&gt;0,TRIM(B10&amp;"")&lt;&gt;"—"),"PASS","⚠ FAIL — "&amp;"a required cell is empty/placeholder or wrong type")</f>
        <v>PASS</v>
      </c>
    </row>
    <row r="12" customFormat="false" ht="24" hidden="false" customHeight="true" outlineLevel="0" collapsed="false">
      <c r="A12" s="1" t="s">
        <v>3455</v>
      </c>
      <c r="B12" s="1"/>
      <c r="C12" s="1"/>
      <c r="D12" s="1"/>
      <c r="E12" s="1"/>
      <c r="F12" s="1"/>
      <c r="G12" s="1"/>
      <c r="H12" s="1"/>
    </row>
    <row r="13" customFormat="false" ht="15" hidden="false" customHeight="false" outlineLevel="0" collapsed="false">
      <c r="A13" s="10" t="s">
        <v>3456</v>
      </c>
    </row>
    <row r="15" customFormat="false" ht="23.85" hidden="false" customHeight="false" outlineLevel="0" collapsed="false">
      <c r="A15" s="9" t="s">
        <v>2907</v>
      </c>
      <c r="B15" s="9" t="s">
        <v>2908</v>
      </c>
      <c r="C15" s="9" t="s">
        <v>160</v>
      </c>
      <c r="D15" s="9" t="s">
        <v>15</v>
      </c>
      <c r="E15" s="9" t="s">
        <v>2909</v>
      </c>
      <c r="F15" s="9" t="s">
        <v>2910</v>
      </c>
      <c r="G15" s="9" t="s">
        <v>2227</v>
      </c>
      <c r="H15" s="10" t="s">
        <v>20</v>
      </c>
    </row>
    <row r="16" customFormat="false" ht="15" hidden="false" customHeight="false" outlineLevel="0" collapsed="false">
      <c r="A16" s="11" t="s">
        <v>2912</v>
      </c>
      <c r="B16" s="11" t="s">
        <v>2913</v>
      </c>
      <c r="C16" s="80" t="n">
        <f aca="false">B61</f>
        <v>0.741378</v>
      </c>
      <c r="D16" s="11" t="s">
        <v>2914</v>
      </c>
      <c r="E16" s="15" t="s">
        <v>2915</v>
      </c>
      <c r="F16" s="11" t="s">
        <v>2916</v>
      </c>
      <c r="G16" s="14" t="s">
        <v>2917</v>
      </c>
      <c r="H16" s="16" t="str">
        <f aca="false">IF(AND(LEN(TRIM(A16&amp;""))&gt;0,TRIM(A16&amp;"")&lt;&gt;"—",LEN(TRIM(B16&amp;""))&gt;0,TRIM(B16&amp;"")&lt;&gt;"—",LEN(TRIM(C16&amp;""))&gt;0,TRIM(C16&amp;"")&lt;&gt;"—",LEN(TRIM(G16&amp;""))&gt;0,TRIM(G16&amp;"")&lt;&gt;"—"),"PASS","⚠ FAIL — "&amp;"a required cell is empty/placeholder or wrong type")</f>
        <v>PASS</v>
      </c>
    </row>
    <row r="17" customFormat="false" ht="15" hidden="false" customHeight="false" outlineLevel="0" collapsed="false">
      <c r="A17" s="11" t="s">
        <v>2919</v>
      </c>
      <c r="B17" s="11" t="s">
        <v>2920</v>
      </c>
      <c r="C17" s="80" t="n">
        <f aca="false">B81</f>
        <v>0.296464188576609</v>
      </c>
      <c r="D17" s="11"/>
      <c r="E17" s="15" t="s">
        <v>2915</v>
      </c>
      <c r="F17" s="11" t="s">
        <v>2921</v>
      </c>
      <c r="G17" s="14" t="s">
        <v>2917</v>
      </c>
      <c r="H17" s="16" t="str">
        <f aca="false">IF(AND(LEN(TRIM(A17&amp;""))&gt;0,TRIM(A17&amp;"")&lt;&gt;"—",LEN(TRIM(B17&amp;""))&gt;0,TRIM(B17&amp;"")&lt;&gt;"—",LEN(TRIM(C17&amp;""))&gt;0,TRIM(C17&amp;"")&lt;&gt;"—",LEN(TRIM(G17&amp;""))&gt;0,TRIM(G17&amp;"")&lt;&gt;"—"),"PASS","⚠ FAIL — "&amp;"a required cell is empty/placeholder or wrong type")</f>
        <v>PASS</v>
      </c>
    </row>
    <row r="18" customFormat="false" ht="32.8" hidden="false" customHeight="false" outlineLevel="0" collapsed="false">
      <c r="A18" s="11" t="s">
        <v>2923</v>
      </c>
      <c r="B18" s="11" t="s">
        <v>2924</v>
      </c>
      <c r="C18" s="80" t="n">
        <f aca="false">B100</f>
        <v>25</v>
      </c>
      <c r="D18" s="11" t="s">
        <v>2925</v>
      </c>
      <c r="E18" s="15" t="s">
        <v>2926</v>
      </c>
      <c r="F18" s="11" t="s">
        <v>2927</v>
      </c>
      <c r="G18" s="14" t="s">
        <v>2917</v>
      </c>
      <c r="H18" s="16" t="str">
        <f aca="false">IF(AND(LEN(TRIM(A18&amp;""))&gt;0,TRIM(A18&amp;"")&lt;&gt;"—",LEN(TRIM(B18&amp;""))&gt;0,TRIM(B18&amp;"")&lt;&gt;"—",LEN(TRIM(C18&amp;""))&gt;0,TRIM(C18&amp;"")&lt;&gt;"—",LEN(TRIM(G18&amp;""))&gt;0,TRIM(G18&amp;"")&lt;&gt;"—"),"PASS","⚠ FAIL — "&amp;"a required cell is empty/placeholder or wrong type")</f>
        <v>PASS</v>
      </c>
    </row>
    <row r="19" customFormat="false" ht="32.8" hidden="false" customHeight="false" outlineLevel="0" collapsed="false">
      <c r="A19" s="11" t="s">
        <v>2923</v>
      </c>
      <c r="B19" s="11" t="s">
        <v>2929</v>
      </c>
      <c r="C19" s="80" t="n">
        <f aca="false">B112</f>
        <v>2.02975</v>
      </c>
      <c r="D19" s="11" t="s">
        <v>42</v>
      </c>
      <c r="E19" s="15" t="s">
        <v>2926</v>
      </c>
      <c r="F19" s="11" t="s">
        <v>2930</v>
      </c>
      <c r="G19" s="14" t="s">
        <v>2917</v>
      </c>
      <c r="H19" s="16" t="str">
        <f aca="false">IF(AND(LEN(TRIM(A19&amp;""))&gt;0,TRIM(A19&amp;"")&lt;&gt;"—",LEN(TRIM(B19&amp;""))&gt;0,TRIM(B19&amp;"")&lt;&gt;"—",LEN(TRIM(C19&amp;""))&gt;0,TRIM(C19&amp;"")&lt;&gt;"—",LEN(TRIM(G19&amp;""))&gt;0,TRIM(G19&amp;"")&lt;&gt;"—"),"PASS","⚠ FAIL — "&amp;"a required cell is empty/placeholder or wrong type")</f>
        <v>PASS</v>
      </c>
    </row>
    <row r="20" customFormat="false" ht="15" hidden="false" customHeight="false" outlineLevel="0" collapsed="false">
      <c r="A20" s="11" t="s">
        <v>2932</v>
      </c>
      <c r="B20" s="11" t="s">
        <v>2933</v>
      </c>
      <c r="C20" s="80" t="n">
        <f aca="false">B129</f>
        <v>75</v>
      </c>
      <c r="D20" s="11" t="s">
        <v>1585</v>
      </c>
      <c r="E20" s="15" t="s">
        <v>2915</v>
      </c>
      <c r="F20" s="11" t="s">
        <v>2934</v>
      </c>
      <c r="G20" s="14" t="s">
        <v>2917</v>
      </c>
      <c r="H20" s="16" t="str">
        <f aca="false">IF(AND(LEN(TRIM(A20&amp;""))&gt;0,TRIM(A20&amp;"")&lt;&gt;"—",LEN(TRIM(B20&amp;""))&gt;0,TRIM(B20&amp;"")&lt;&gt;"—",LEN(TRIM(C20&amp;""))&gt;0,TRIM(C20&amp;"")&lt;&gt;"—",LEN(TRIM(G20&amp;""))&gt;0,TRIM(G20&amp;"")&lt;&gt;"—"),"PASS","⚠ FAIL — "&amp;"a required cell is empty/placeholder or wrong type")</f>
        <v>PASS</v>
      </c>
    </row>
    <row r="21" customFormat="false" ht="15" hidden="false" customHeight="false" outlineLevel="0" collapsed="false">
      <c r="A21" s="11" t="s">
        <v>2932</v>
      </c>
      <c r="B21" s="11" t="s">
        <v>2936</v>
      </c>
      <c r="C21" s="80" t="n">
        <f aca="false">B139</f>
        <v>108.253175473055</v>
      </c>
      <c r="D21" s="11" t="s">
        <v>1568</v>
      </c>
      <c r="E21" s="15" t="s">
        <v>2915</v>
      </c>
      <c r="F21" s="11" t="s">
        <v>2937</v>
      </c>
      <c r="G21" s="14" t="s">
        <v>2917</v>
      </c>
      <c r="H21" s="16" t="str">
        <f aca="false">IF(AND(LEN(TRIM(A21&amp;""))&gt;0,TRIM(A21&amp;"")&lt;&gt;"—",LEN(TRIM(B21&amp;""))&gt;0,TRIM(B21&amp;"")&lt;&gt;"—",LEN(TRIM(C21&amp;""))&gt;0,TRIM(C21&amp;"")&lt;&gt;"—",LEN(TRIM(G21&amp;""))&gt;0,TRIM(G21&amp;"")&lt;&gt;"—"),"PASS","⚠ FAIL — "&amp;"a required cell is empty/placeholder or wrong type")</f>
        <v>PASS</v>
      </c>
    </row>
    <row r="22" customFormat="false" ht="74.6" hidden="false" customHeight="false" outlineLevel="0" collapsed="false">
      <c r="A22" s="11" t="s">
        <v>2939</v>
      </c>
      <c r="B22" s="11" t="s">
        <v>2940</v>
      </c>
      <c r="C22" s="80" t="n">
        <v>90</v>
      </c>
      <c r="D22" s="11" t="s">
        <v>163</v>
      </c>
      <c r="E22" s="15" t="s">
        <v>2941</v>
      </c>
      <c r="F22" s="11" t="s">
        <v>2942</v>
      </c>
      <c r="G22" s="14" t="s">
        <v>2917</v>
      </c>
      <c r="H22" s="16" t="str">
        <f aca="false">IF(AND(LEN(TRIM(A22&amp;""))&gt;0,TRIM(A22&amp;"")&lt;&gt;"—",LEN(TRIM(B22&amp;""))&gt;0,TRIM(B22&amp;"")&lt;&gt;"—",LEN(TRIM(C22&amp;""))&gt;0,TRIM(C22&amp;"")&lt;&gt;"—",LEN(TRIM(G22&amp;""))&gt;0,TRIM(G22&amp;"")&lt;&gt;"—"),"PASS","⚠ FAIL — "&amp;"a required cell is empty/placeholder or wrong type")</f>
        <v>PASS</v>
      </c>
    </row>
    <row r="23" customFormat="false" ht="53.7" hidden="false" customHeight="false" outlineLevel="0" collapsed="false">
      <c r="A23" s="11" t="s">
        <v>2939</v>
      </c>
      <c r="B23" s="11" t="s">
        <v>2944</v>
      </c>
      <c r="C23" s="80" t="n">
        <v>4.1</v>
      </c>
      <c r="D23" s="11" t="s">
        <v>1588</v>
      </c>
      <c r="E23" s="15" t="s">
        <v>2945</v>
      </c>
      <c r="F23" s="11" t="s">
        <v>2946</v>
      </c>
      <c r="G23" s="14" t="s">
        <v>2917</v>
      </c>
      <c r="H23" s="16" t="str">
        <f aca="false">IF(AND(LEN(TRIM(A23&amp;""))&gt;0,TRIM(A23&amp;"")&lt;&gt;"—",LEN(TRIM(B23&amp;""))&gt;0,TRIM(B23&amp;"")&lt;&gt;"—",LEN(TRIM(C23&amp;""))&gt;0,TRIM(C23&amp;"")&lt;&gt;"—",LEN(TRIM(G23&amp;""))&gt;0,TRIM(G23&amp;"")&lt;&gt;"—"),"PASS","⚠ FAIL — "&amp;"a required cell is empty/placeholder or wrong type")</f>
        <v>PASS</v>
      </c>
    </row>
    <row r="24" customFormat="false" ht="74.6" hidden="false" customHeight="false" outlineLevel="0" collapsed="false">
      <c r="A24" s="11" t="s">
        <v>2939</v>
      </c>
      <c r="B24" s="11" t="s">
        <v>2948</v>
      </c>
      <c r="C24" s="80" t="n">
        <v>1</v>
      </c>
      <c r="D24" s="11" t="s">
        <v>2949</v>
      </c>
      <c r="E24" s="15" t="s">
        <v>2950</v>
      </c>
      <c r="F24" s="11" t="s">
        <v>2951</v>
      </c>
      <c r="G24" s="14" t="s">
        <v>2917</v>
      </c>
      <c r="H24" s="16" t="str">
        <f aca="false">IF(AND(LEN(TRIM(A24&amp;""))&gt;0,TRIM(A24&amp;"")&lt;&gt;"—",LEN(TRIM(B24&amp;""))&gt;0,TRIM(B24&amp;"")&lt;&gt;"—",LEN(TRIM(C24&amp;""))&gt;0,TRIM(C24&amp;"")&lt;&gt;"—",LEN(TRIM(G24&amp;""))&gt;0,TRIM(G24&amp;"")&lt;&gt;"—"),"PASS","⚠ FAIL — "&amp;"a required cell is empty/placeholder or wrong type")</f>
        <v>PASS</v>
      </c>
    </row>
    <row r="25" customFormat="false" ht="85.05" hidden="false" customHeight="false" outlineLevel="0" collapsed="false">
      <c r="A25" s="11" t="s">
        <v>2953</v>
      </c>
      <c r="B25" s="11" t="s">
        <v>2954</v>
      </c>
      <c r="C25" s="80" t="n">
        <v>53</v>
      </c>
      <c r="D25" s="11" t="s">
        <v>1588</v>
      </c>
      <c r="E25" s="15" t="s">
        <v>2955</v>
      </c>
      <c r="F25" s="11" t="s">
        <v>2956</v>
      </c>
      <c r="G25" s="14" t="s">
        <v>2917</v>
      </c>
      <c r="H25" s="16" t="str">
        <f aca="false">IF(AND(LEN(TRIM(A25&amp;""))&gt;0,TRIM(A25&amp;"")&lt;&gt;"—",LEN(TRIM(B25&amp;""))&gt;0,TRIM(B25&amp;"")&lt;&gt;"—",LEN(TRIM(C25&amp;""))&gt;0,TRIM(C25&amp;"")&lt;&gt;"—",LEN(TRIM(G25&amp;""))&gt;0,TRIM(G25&amp;"")&lt;&gt;"—"),"PASS","⚠ FAIL — "&amp;"a required cell is empty/placeholder or wrong type")</f>
        <v>PASS</v>
      </c>
    </row>
    <row r="26" customFormat="false" ht="64.15" hidden="false" customHeight="false" outlineLevel="0" collapsed="false">
      <c r="A26" s="11" t="s">
        <v>2958</v>
      </c>
      <c r="B26" s="11" t="s">
        <v>2959</v>
      </c>
      <c r="C26" s="80" t="n">
        <v>90</v>
      </c>
      <c r="D26" s="11" t="s">
        <v>163</v>
      </c>
      <c r="E26" s="15" t="s">
        <v>2960</v>
      </c>
      <c r="F26" s="11" t="s">
        <v>2961</v>
      </c>
      <c r="G26" s="14" t="s">
        <v>2917</v>
      </c>
      <c r="H26" s="16" t="str">
        <f aca="false">IF(AND(LEN(TRIM(A26&amp;""))&gt;0,TRIM(A26&amp;"")&lt;&gt;"—",LEN(TRIM(B26&amp;""))&gt;0,TRIM(B26&amp;"")&lt;&gt;"—",LEN(TRIM(C26&amp;""))&gt;0,TRIM(C26&amp;"")&lt;&gt;"—",LEN(TRIM(G26&amp;""))&gt;0,TRIM(G26&amp;"")&lt;&gt;"—"),"PASS","⚠ FAIL — "&amp;"a required cell is empty/placeholder or wrong type")</f>
        <v>PASS</v>
      </c>
    </row>
    <row r="27" customFormat="false" ht="43.25" hidden="false" customHeight="false" outlineLevel="0" collapsed="false">
      <c r="A27" s="11" t="s">
        <v>2958</v>
      </c>
      <c r="B27" s="11" t="s">
        <v>2963</v>
      </c>
      <c r="C27" s="80" t="n">
        <v>120</v>
      </c>
      <c r="D27" s="11" t="s">
        <v>2964</v>
      </c>
      <c r="E27" s="15" t="s">
        <v>2965</v>
      </c>
      <c r="F27" s="11" t="s">
        <v>2966</v>
      </c>
      <c r="G27" s="14" t="s">
        <v>2917</v>
      </c>
      <c r="H27" s="16" t="str">
        <f aca="false">IF(AND(LEN(TRIM(A27&amp;""))&gt;0,TRIM(A27&amp;"")&lt;&gt;"—",LEN(TRIM(B27&amp;""))&gt;0,TRIM(B27&amp;"")&lt;&gt;"—",LEN(TRIM(C27&amp;""))&gt;0,TRIM(C27&amp;"")&lt;&gt;"—",LEN(TRIM(G27&amp;""))&gt;0,TRIM(G27&amp;"")&lt;&gt;"—"),"PASS","⚠ FAIL — "&amp;"a required cell is empty/placeholder or wrong type")</f>
        <v>PASS</v>
      </c>
    </row>
    <row r="28" customFormat="false" ht="32.8" hidden="false" customHeight="false" outlineLevel="0" collapsed="false">
      <c r="A28" s="11" t="s">
        <v>2958</v>
      </c>
      <c r="B28" s="11" t="s">
        <v>2968</v>
      </c>
      <c r="C28" s="80" t="n">
        <v>1.5</v>
      </c>
      <c r="D28" s="11" t="s">
        <v>2964</v>
      </c>
      <c r="E28" s="15" t="s">
        <v>2969</v>
      </c>
      <c r="F28" s="11" t="s">
        <v>2970</v>
      </c>
      <c r="G28" s="14" t="s">
        <v>2917</v>
      </c>
      <c r="H28" s="16" t="str">
        <f aca="false">IF(AND(LEN(TRIM(A28&amp;""))&gt;0,TRIM(A28&amp;"")&lt;&gt;"—",LEN(TRIM(B28&amp;""))&gt;0,TRIM(B28&amp;"")&lt;&gt;"—",LEN(TRIM(C28&amp;""))&gt;0,TRIM(C28&amp;"")&lt;&gt;"—",LEN(TRIM(G28&amp;""))&gt;0,TRIM(G28&amp;"")&lt;&gt;"—"),"PASS","⚠ FAIL — "&amp;"a required cell is empty/placeholder or wrong type")</f>
        <v>PASS</v>
      </c>
    </row>
    <row r="29" customFormat="false" ht="43.25" hidden="false" customHeight="false" outlineLevel="0" collapsed="false">
      <c r="A29" s="11" t="s">
        <v>2958</v>
      </c>
      <c r="B29" s="11" t="s">
        <v>2972</v>
      </c>
      <c r="C29" s="80" t="n">
        <v>90</v>
      </c>
      <c r="D29" s="11" t="s">
        <v>163</v>
      </c>
      <c r="E29" s="15" t="s">
        <v>2973</v>
      </c>
      <c r="F29" s="11" t="s">
        <v>2974</v>
      </c>
      <c r="G29" s="14" t="s">
        <v>2917</v>
      </c>
      <c r="H29" s="16" t="str">
        <f aca="false">IF(AND(LEN(TRIM(A29&amp;""))&gt;0,TRIM(A29&amp;"")&lt;&gt;"—",LEN(TRIM(B29&amp;""))&gt;0,TRIM(B29&amp;"")&lt;&gt;"—",LEN(TRIM(C29&amp;""))&gt;0,TRIM(C29&amp;"")&lt;&gt;"—",LEN(TRIM(G29&amp;""))&gt;0,TRIM(G29&amp;"")&lt;&gt;"—"),"PASS","⚠ FAIL — "&amp;"a required cell is empty/placeholder or wrong type")</f>
        <v>PASS</v>
      </c>
    </row>
    <row r="30" customFormat="false" ht="32.8" hidden="false" customHeight="false" outlineLevel="0" collapsed="false">
      <c r="A30" s="11" t="s">
        <v>2958</v>
      </c>
      <c r="B30" s="11" t="s">
        <v>2976</v>
      </c>
      <c r="C30" s="80" t="n">
        <v>53</v>
      </c>
      <c r="D30" s="11" t="s">
        <v>1588</v>
      </c>
      <c r="E30" s="15" t="s">
        <v>2977</v>
      </c>
      <c r="F30" s="11" t="s">
        <v>2978</v>
      </c>
      <c r="G30" s="14" t="s">
        <v>2917</v>
      </c>
      <c r="H30" s="16" t="str">
        <f aca="false">IF(AND(LEN(TRIM(A30&amp;""))&gt;0,TRIM(A30&amp;"")&lt;&gt;"—",LEN(TRIM(B30&amp;""))&gt;0,TRIM(B30&amp;"")&lt;&gt;"—",LEN(TRIM(C30&amp;""))&gt;0,TRIM(C30&amp;"")&lt;&gt;"—",LEN(TRIM(G30&amp;""))&gt;0,TRIM(G30&amp;"")&lt;&gt;"—"),"PASS","⚠ FAIL — "&amp;"a required cell is empty/placeholder or wrong type")</f>
        <v>PASS</v>
      </c>
    </row>
    <row r="31" customFormat="false" ht="85.05" hidden="false" customHeight="false" outlineLevel="0" collapsed="false">
      <c r="A31" s="11" t="s">
        <v>2958</v>
      </c>
      <c r="B31" s="11" t="s">
        <v>2980</v>
      </c>
      <c r="C31" s="80" t="n">
        <v>106</v>
      </c>
      <c r="D31" s="11" t="s">
        <v>1568</v>
      </c>
      <c r="E31" s="15" t="s">
        <v>2981</v>
      </c>
      <c r="F31" s="11" t="s">
        <v>2982</v>
      </c>
      <c r="G31" s="14" t="s">
        <v>2917</v>
      </c>
      <c r="H31" s="16" t="str">
        <f aca="false">IF(AND(LEN(TRIM(A31&amp;""))&gt;0,TRIM(A31&amp;"")&lt;&gt;"—",LEN(TRIM(B31&amp;""))&gt;0,TRIM(B31&amp;"")&lt;&gt;"—",LEN(TRIM(C31&amp;""))&gt;0,TRIM(C31&amp;"")&lt;&gt;"—",LEN(TRIM(G31&amp;""))&gt;0,TRIM(G31&amp;"")&lt;&gt;"—"),"PASS","⚠ FAIL — "&amp;"a required cell is empty/placeholder or wrong type")</f>
        <v>PASS</v>
      </c>
    </row>
    <row r="32" customFormat="false" ht="85.05" hidden="false" customHeight="false" outlineLevel="0" collapsed="false">
      <c r="A32" s="11" t="s">
        <v>2958</v>
      </c>
      <c r="B32" s="11" t="s">
        <v>2984</v>
      </c>
      <c r="C32" s="80" t="n">
        <v>125</v>
      </c>
      <c r="D32" s="11" t="s">
        <v>1568</v>
      </c>
      <c r="E32" s="15" t="s">
        <v>2981</v>
      </c>
      <c r="F32" s="11" t="s">
        <v>2985</v>
      </c>
      <c r="G32" s="14" t="s">
        <v>2917</v>
      </c>
      <c r="H32" s="16" t="str">
        <f aca="false">IF(AND(LEN(TRIM(A32&amp;""))&gt;0,TRIM(A32&amp;"")&lt;&gt;"—",LEN(TRIM(B32&amp;""))&gt;0,TRIM(B32&amp;"")&lt;&gt;"—",LEN(TRIM(C32&amp;""))&gt;0,TRIM(C32&amp;"")&lt;&gt;"—",LEN(TRIM(G32&amp;""))&gt;0,TRIM(G32&amp;"")&lt;&gt;"—"),"PASS","⚠ FAIL — "&amp;"a required cell is empty/placeholder or wrong type")</f>
        <v>PASS</v>
      </c>
    </row>
    <row r="33" customFormat="false" ht="43.25" hidden="false" customHeight="false" outlineLevel="0" collapsed="false">
      <c r="A33" s="11" t="s">
        <v>2987</v>
      </c>
      <c r="B33" s="11" t="s">
        <v>2988</v>
      </c>
      <c r="C33" s="80" t="n">
        <v>1.8</v>
      </c>
      <c r="D33" s="11" t="s">
        <v>2964</v>
      </c>
      <c r="E33" s="15" t="s">
        <v>2989</v>
      </c>
      <c r="F33" s="11" t="s">
        <v>2990</v>
      </c>
      <c r="G33" s="14" t="s">
        <v>2917</v>
      </c>
      <c r="H33" s="16" t="str">
        <f aca="false">IF(AND(LEN(TRIM(A33&amp;""))&gt;0,TRIM(A33&amp;"")&lt;&gt;"—",LEN(TRIM(B33&amp;""))&gt;0,TRIM(B33&amp;"")&lt;&gt;"—",LEN(TRIM(C33&amp;""))&gt;0,TRIM(C33&amp;"")&lt;&gt;"—",LEN(TRIM(G33&amp;""))&gt;0,TRIM(G33&amp;"")&lt;&gt;"—"),"PASS","⚠ FAIL — "&amp;"a required cell is empty/placeholder or wrong type")</f>
        <v>PASS</v>
      </c>
    </row>
    <row r="34" customFormat="false" ht="15" hidden="false" customHeight="false" outlineLevel="0" collapsed="false">
      <c r="A34" s="11" t="s">
        <v>2992</v>
      </c>
      <c r="B34" s="11" t="s">
        <v>2993</v>
      </c>
      <c r="C34" s="80" t="n">
        <f aca="false">B157</f>
        <v>1.35874685746228</v>
      </c>
      <c r="D34" s="11" t="s">
        <v>2994</v>
      </c>
      <c r="E34" s="15" t="s">
        <v>2915</v>
      </c>
      <c r="F34" s="11" t="s">
        <v>2995</v>
      </c>
      <c r="G34" s="14" t="s">
        <v>2917</v>
      </c>
      <c r="H34" s="16" t="str">
        <f aca="false">IF(AND(LEN(TRIM(A34&amp;""))&gt;0,TRIM(A34&amp;"")&lt;&gt;"—",LEN(TRIM(B34&amp;""))&gt;0,TRIM(B34&amp;"")&lt;&gt;"—",LEN(TRIM(C34&amp;""))&gt;0,TRIM(C34&amp;"")&lt;&gt;"—",LEN(TRIM(G34&amp;""))&gt;0,TRIM(G34&amp;"")&lt;&gt;"—"),"PASS","⚠ FAIL — "&amp;"a required cell is empty/placeholder or wrong type")</f>
        <v>PASS</v>
      </c>
    </row>
    <row r="35" customFormat="false" ht="15" hidden="false" customHeight="false" outlineLevel="0" collapsed="false">
      <c r="A35" s="11" t="s">
        <v>2997</v>
      </c>
      <c r="B35" s="11" t="s">
        <v>2998</v>
      </c>
      <c r="C35" s="80" t="n">
        <f aca="false">B187</f>
        <v>46.2</v>
      </c>
      <c r="D35" s="11" t="s">
        <v>2999</v>
      </c>
      <c r="E35" s="15" t="s">
        <v>2915</v>
      </c>
      <c r="F35" s="11" t="s">
        <v>3000</v>
      </c>
      <c r="G35" s="14" t="s">
        <v>2917</v>
      </c>
      <c r="H35" s="16" t="str">
        <f aca="false">IF(AND(LEN(TRIM(A35&amp;""))&gt;0,TRIM(A35&amp;"")&lt;&gt;"—",LEN(TRIM(B35&amp;""))&gt;0,TRIM(B35&amp;"")&lt;&gt;"—",LEN(TRIM(C35&amp;""))&gt;0,TRIM(C35&amp;"")&lt;&gt;"—",LEN(TRIM(G35&amp;""))&gt;0,TRIM(G35&amp;"")&lt;&gt;"—"),"PASS","⚠ FAIL — "&amp;"a required cell is empty/placeholder or wrong type")</f>
        <v>PASS</v>
      </c>
    </row>
    <row r="36" customFormat="false" ht="15" hidden="false" customHeight="false" outlineLevel="0" collapsed="false">
      <c r="A36" s="11" t="s">
        <v>3002</v>
      </c>
      <c r="B36" s="11" t="s">
        <v>3003</v>
      </c>
      <c r="C36" s="80" t="n">
        <v>5</v>
      </c>
      <c r="D36" s="11" t="s">
        <v>27</v>
      </c>
      <c r="E36" s="15" t="s">
        <v>2915</v>
      </c>
      <c r="F36" s="11" t="s">
        <v>3004</v>
      </c>
      <c r="G36" s="14" t="s">
        <v>2917</v>
      </c>
      <c r="H36" s="16" t="str">
        <f aca="false">IF(AND(LEN(TRIM(A36&amp;""))&gt;0,TRIM(A36&amp;"")&lt;&gt;"—",LEN(TRIM(B36&amp;""))&gt;0,TRIM(B36&amp;"")&lt;&gt;"—",LEN(TRIM(C36&amp;""))&gt;0,TRIM(C36&amp;"")&lt;&gt;"—",LEN(TRIM(G36&amp;""))&gt;0,TRIM(G36&amp;"")&lt;&gt;"—"),"PASS","⚠ FAIL — "&amp;"a required cell is empty/placeholder or wrong type")</f>
        <v>PASS</v>
      </c>
    </row>
    <row r="37" customFormat="false" ht="32.8" hidden="false" customHeight="false" outlineLevel="0" collapsed="false">
      <c r="A37" s="11" t="s">
        <v>3006</v>
      </c>
      <c r="B37" s="11" t="s">
        <v>3007</v>
      </c>
      <c r="C37" s="80" t="n">
        <v>9.653</v>
      </c>
      <c r="D37" s="11" t="s">
        <v>1588</v>
      </c>
      <c r="E37" s="15" t="s">
        <v>3008</v>
      </c>
      <c r="F37" s="11" t="s">
        <v>3009</v>
      </c>
      <c r="G37" s="14" t="s">
        <v>2917</v>
      </c>
      <c r="H37" s="16" t="str">
        <f aca="false">IF(AND(LEN(TRIM(A37&amp;""))&gt;0,TRIM(A37&amp;"")&lt;&gt;"—",LEN(TRIM(B37&amp;""))&gt;0,TRIM(B37&amp;"")&lt;&gt;"—",LEN(TRIM(C37&amp;""))&gt;0,TRIM(C37&amp;"")&lt;&gt;"—",LEN(TRIM(G37&amp;""))&gt;0,TRIM(G37&amp;"")&lt;&gt;"—"),"PASS","⚠ FAIL — "&amp;"a required cell is empty/placeholder or wrong type")</f>
        <v>PASS</v>
      </c>
    </row>
    <row r="38" customFormat="false" ht="32.8" hidden="false" customHeight="false" outlineLevel="0" collapsed="false">
      <c r="A38" s="11" t="s">
        <v>3006</v>
      </c>
      <c r="B38" s="11" t="s">
        <v>3011</v>
      </c>
      <c r="C38" s="80" t="n">
        <v>90</v>
      </c>
      <c r="D38" s="11" t="s">
        <v>33</v>
      </c>
      <c r="E38" s="15" t="s">
        <v>3008</v>
      </c>
      <c r="F38" s="11" t="s">
        <v>3012</v>
      </c>
      <c r="G38" s="14" t="s">
        <v>2917</v>
      </c>
      <c r="H38" s="16" t="str">
        <f aca="false">IF(AND(LEN(TRIM(A38&amp;""))&gt;0,TRIM(A38&amp;"")&lt;&gt;"—",LEN(TRIM(B38&amp;""))&gt;0,TRIM(B38&amp;"")&lt;&gt;"—",LEN(TRIM(C38&amp;""))&gt;0,TRIM(C38&amp;"")&lt;&gt;"—",LEN(TRIM(G38&amp;""))&gt;0,TRIM(G38&amp;"")&lt;&gt;"—"),"PASS","⚠ FAIL — "&amp;"a required cell is empty/placeholder or wrong type")</f>
        <v>PASS</v>
      </c>
    </row>
    <row r="39" customFormat="false" ht="43.25" hidden="false" customHeight="false" outlineLevel="0" collapsed="false">
      <c r="A39" s="11" t="s">
        <v>3014</v>
      </c>
      <c r="B39" s="11" t="s">
        <v>3015</v>
      </c>
      <c r="C39" s="80" t="n">
        <f aca="false">B251</f>
        <v>1500.811</v>
      </c>
      <c r="D39" s="11" t="s">
        <v>2999</v>
      </c>
      <c r="E39" s="15" t="s">
        <v>3016</v>
      </c>
      <c r="F39" s="11" t="s">
        <v>3017</v>
      </c>
      <c r="G39" s="14" t="s">
        <v>2917</v>
      </c>
      <c r="H39" s="16" t="str">
        <f aca="false">IF(AND(LEN(TRIM(A39&amp;""))&gt;0,TRIM(A39&amp;"")&lt;&gt;"—",LEN(TRIM(B39&amp;""))&gt;0,TRIM(B39&amp;"")&lt;&gt;"—",LEN(TRIM(C39&amp;""))&gt;0,TRIM(C39&amp;"")&lt;&gt;"—",LEN(TRIM(G39&amp;""))&gt;0,TRIM(G39&amp;"")&lt;&gt;"—"),"PASS","⚠ FAIL — "&amp;"a required cell is empty/placeholder or wrong type")</f>
        <v>PASS</v>
      </c>
    </row>
    <row r="40" customFormat="false" ht="15" hidden="false" customHeight="false" outlineLevel="0" collapsed="false">
      <c r="A40" s="11" t="s">
        <v>3019</v>
      </c>
      <c r="B40" s="11" t="s">
        <v>3020</v>
      </c>
      <c r="C40" s="80" t="n">
        <f aca="false">B279</f>
        <v>3.46572421577573</v>
      </c>
      <c r="D40" s="11" t="s">
        <v>3021</v>
      </c>
      <c r="E40" s="15" t="s">
        <v>2915</v>
      </c>
      <c r="F40" s="11" t="s">
        <v>3022</v>
      </c>
      <c r="G40" s="14" t="s">
        <v>2917</v>
      </c>
      <c r="H40" s="16" t="str">
        <f aca="false">IF(AND(LEN(TRIM(A40&amp;""))&gt;0,TRIM(A40&amp;"")&lt;&gt;"—",LEN(TRIM(B40&amp;""))&gt;0,TRIM(B40&amp;"")&lt;&gt;"—",LEN(TRIM(C40&amp;""))&gt;0,TRIM(C40&amp;"")&lt;&gt;"—",LEN(TRIM(G40&amp;""))&gt;0,TRIM(G40&amp;"")&lt;&gt;"—"),"PASS","⚠ FAIL — "&amp;"a required cell is empty/placeholder or wrong type")</f>
        <v>PASS</v>
      </c>
    </row>
    <row r="41" customFormat="false" ht="15" hidden="false" customHeight="false" outlineLevel="0" collapsed="false">
      <c r="A41" s="11" t="s">
        <v>3019</v>
      </c>
      <c r="B41" s="11" t="s">
        <v>3024</v>
      </c>
      <c r="C41" s="80" t="n">
        <f aca="false">B274</f>
        <v>23.0831984945154</v>
      </c>
      <c r="D41" s="11" t="s">
        <v>3025</v>
      </c>
      <c r="E41" s="15" t="s">
        <v>2915</v>
      </c>
      <c r="F41" s="11" t="s">
        <v>3026</v>
      </c>
      <c r="G41" s="14" t="s">
        <v>2917</v>
      </c>
      <c r="H41" s="16" t="str">
        <f aca="false">IF(AND(LEN(TRIM(A41&amp;""))&gt;0,TRIM(A41&amp;"")&lt;&gt;"—",LEN(TRIM(B41&amp;""))&gt;0,TRIM(B41&amp;"")&lt;&gt;"—",LEN(TRIM(C41&amp;""))&gt;0,TRIM(C41&amp;"")&lt;&gt;"—",LEN(TRIM(G41&amp;""))&gt;0,TRIM(G41&amp;"")&lt;&gt;"—"),"PASS","⚠ FAIL — "&amp;"a required cell is empty/placeholder or wrong type")</f>
        <v>PASS</v>
      </c>
    </row>
    <row r="42" customFormat="false" ht="15" hidden="false" customHeight="false" outlineLevel="0" collapsed="false">
      <c r="A42" s="11" t="s">
        <v>3028</v>
      </c>
      <c r="B42" s="11" t="s">
        <v>3029</v>
      </c>
      <c r="C42" s="80" t="n">
        <v>640</v>
      </c>
      <c r="D42" s="11" t="s">
        <v>3030</v>
      </c>
      <c r="E42" s="15" t="s">
        <v>2915</v>
      </c>
      <c r="F42" s="11" t="s">
        <v>3031</v>
      </c>
      <c r="G42" s="14" t="s">
        <v>2917</v>
      </c>
      <c r="H42" s="16" t="str">
        <f aca="false">IF(AND(LEN(TRIM(A42&amp;""))&gt;0,TRIM(A42&amp;"")&lt;&gt;"—",LEN(TRIM(B42&amp;""))&gt;0,TRIM(B42&amp;"")&lt;&gt;"—",LEN(TRIM(C42&amp;""))&gt;0,TRIM(C42&amp;"")&lt;&gt;"—",LEN(TRIM(G42&amp;""))&gt;0,TRIM(G42&amp;"")&lt;&gt;"—"),"PASS","⚠ FAIL — "&amp;"a required cell is empty/placeholder or wrong type")</f>
        <v>PASS</v>
      </c>
    </row>
    <row r="43" customFormat="false" ht="32.8" hidden="false" customHeight="false" outlineLevel="0" collapsed="false">
      <c r="A43" s="11" t="s">
        <v>3033</v>
      </c>
      <c r="B43" s="11" t="s">
        <v>3034</v>
      </c>
      <c r="C43" s="80" t="n">
        <v>600.811</v>
      </c>
      <c r="D43" s="11" t="s">
        <v>2999</v>
      </c>
      <c r="E43" s="15" t="s">
        <v>3035</v>
      </c>
      <c r="F43" s="11" t="s">
        <v>3036</v>
      </c>
      <c r="G43" s="14" t="s">
        <v>2917</v>
      </c>
      <c r="H43" s="16" t="str">
        <f aca="false">IF(AND(LEN(TRIM(A43&amp;""))&gt;0,TRIM(A43&amp;"")&lt;&gt;"—",LEN(TRIM(B43&amp;""))&gt;0,TRIM(B43&amp;"")&lt;&gt;"—",LEN(TRIM(C43&amp;""))&gt;0,TRIM(C43&amp;"")&lt;&gt;"—",LEN(TRIM(G43&amp;""))&gt;0,TRIM(G43&amp;"")&lt;&gt;"—"),"PASS","⚠ FAIL — "&amp;"a required cell is empty/placeholder or wrong type")</f>
        <v>PASS</v>
      </c>
    </row>
    <row r="44" customFormat="false" ht="32.8" hidden="false" customHeight="false" outlineLevel="0" collapsed="false">
      <c r="A44" s="11" t="s">
        <v>3033</v>
      </c>
      <c r="B44" s="11" t="s">
        <v>3034</v>
      </c>
      <c r="C44" s="80" t="n">
        <f aca="false">B351</f>
        <v>556.127</v>
      </c>
      <c r="D44" s="11" t="s">
        <v>2999</v>
      </c>
      <c r="E44" s="15" t="s">
        <v>3035</v>
      </c>
      <c r="F44" s="11" t="s">
        <v>3038</v>
      </c>
      <c r="G44" s="14" t="s">
        <v>2917</v>
      </c>
      <c r="H44" s="16" t="str">
        <f aca="false">IF(AND(LEN(TRIM(A44&amp;""))&gt;0,TRIM(A44&amp;"")&lt;&gt;"—",LEN(TRIM(B44&amp;""))&gt;0,TRIM(B44&amp;"")&lt;&gt;"—",LEN(TRIM(C44&amp;""))&gt;0,TRIM(C44&amp;"")&lt;&gt;"—",LEN(TRIM(G44&amp;""))&gt;0,TRIM(G44&amp;"")&lt;&gt;"—"),"PASS","⚠ FAIL — "&amp;"a required cell is empty/placeholder or wrong type")</f>
        <v>PASS</v>
      </c>
    </row>
    <row r="45" customFormat="false" ht="15" hidden="false" customHeight="false" outlineLevel="0" collapsed="false">
      <c r="A45" s="11" t="s">
        <v>3040</v>
      </c>
      <c r="B45" s="11" t="s">
        <v>3007</v>
      </c>
      <c r="C45" s="80" t="n">
        <v>7.5</v>
      </c>
      <c r="D45" s="11" t="s">
        <v>1588</v>
      </c>
      <c r="E45" s="15" t="s">
        <v>2915</v>
      </c>
      <c r="F45" s="11" t="s">
        <v>3041</v>
      </c>
      <c r="G45" s="14" t="s">
        <v>2917</v>
      </c>
      <c r="H45" s="16" t="str">
        <f aca="false">IF(AND(LEN(TRIM(A45&amp;""))&gt;0,TRIM(A45&amp;"")&lt;&gt;"—",LEN(TRIM(B45&amp;""))&gt;0,TRIM(B45&amp;"")&lt;&gt;"—",LEN(TRIM(C45&amp;""))&gt;0,TRIM(C45&amp;"")&lt;&gt;"—",LEN(TRIM(G45&amp;""))&gt;0,TRIM(G45&amp;"")&lt;&gt;"—"),"PASS","⚠ FAIL — "&amp;"a required cell is empty/placeholder or wrong type")</f>
        <v>PASS</v>
      </c>
    </row>
    <row r="46" customFormat="false" ht="15" hidden="false" customHeight="false" outlineLevel="0" collapsed="false">
      <c r="A46" s="11" t="s">
        <v>3040</v>
      </c>
      <c r="B46" s="11" t="s">
        <v>3007</v>
      </c>
      <c r="C46" s="80" t="n">
        <v>1.923</v>
      </c>
      <c r="D46" s="11" t="s">
        <v>1588</v>
      </c>
      <c r="E46" s="15" t="s">
        <v>2915</v>
      </c>
      <c r="F46" s="11" t="s">
        <v>3043</v>
      </c>
      <c r="G46" s="14" t="s">
        <v>2917</v>
      </c>
      <c r="H46" s="16" t="str">
        <f aca="false">IF(AND(LEN(TRIM(A46&amp;""))&gt;0,TRIM(A46&amp;"")&lt;&gt;"—",LEN(TRIM(B46&amp;""))&gt;0,TRIM(B46&amp;"")&lt;&gt;"—",LEN(TRIM(C46&amp;""))&gt;0,TRIM(C46&amp;"")&lt;&gt;"—",LEN(TRIM(G46&amp;""))&gt;0,TRIM(G46&amp;"")&lt;&gt;"—"),"PASS","⚠ FAIL — "&amp;"a required cell is empty/placeholder or wrong type")</f>
        <v>PASS</v>
      </c>
    </row>
    <row r="47" customFormat="false" ht="53.7" hidden="false" customHeight="false" outlineLevel="0" collapsed="false">
      <c r="A47" s="11" t="s">
        <v>3045</v>
      </c>
      <c r="B47" s="11" t="s">
        <v>3046</v>
      </c>
      <c r="C47" s="80" t="n">
        <v>40</v>
      </c>
      <c r="D47" s="11" t="s">
        <v>27</v>
      </c>
      <c r="E47" s="15" t="s">
        <v>3047</v>
      </c>
      <c r="F47" s="11" t="s">
        <v>3048</v>
      </c>
      <c r="G47" s="14" t="s">
        <v>2917</v>
      </c>
      <c r="H47" s="16" t="str">
        <f aca="false">IF(AND(LEN(TRIM(A47&amp;""))&gt;0,TRIM(A47&amp;"")&lt;&gt;"—",LEN(TRIM(B47&amp;""))&gt;0,TRIM(B47&amp;"")&lt;&gt;"—",LEN(TRIM(C47&amp;""))&gt;0,TRIM(C47&amp;"")&lt;&gt;"—",LEN(TRIM(G47&amp;""))&gt;0,TRIM(G47&amp;"")&lt;&gt;"—"),"PASS","⚠ FAIL — "&amp;"a required cell is empty/placeholder or wrong type")</f>
        <v>PASS</v>
      </c>
    </row>
    <row r="48" customFormat="false" ht="53.7" hidden="false" customHeight="false" outlineLevel="0" collapsed="false">
      <c r="A48" s="11" t="s">
        <v>3045</v>
      </c>
      <c r="B48" s="11" t="s">
        <v>3050</v>
      </c>
      <c r="C48" s="80" t="n">
        <v>40</v>
      </c>
      <c r="D48" s="11" t="s">
        <v>27</v>
      </c>
      <c r="E48" s="15" t="s">
        <v>3047</v>
      </c>
      <c r="F48" s="11" t="s">
        <v>3051</v>
      </c>
      <c r="G48" s="14" t="s">
        <v>2917</v>
      </c>
      <c r="H48" s="16" t="str">
        <f aca="false">IF(AND(LEN(TRIM(A48&amp;""))&gt;0,TRIM(A48&amp;"")&lt;&gt;"—",LEN(TRIM(B48&amp;""))&gt;0,TRIM(B48&amp;"")&lt;&gt;"—",LEN(TRIM(C48&amp;""))&gt;0,TRIM(C48&amp;"")&lt;&gt;"—",LEN(TRIM(G48&amp;""))&gt;0,TRIM(G48&amp;"")&lt;&gt;"—"),"PASS","⚠ FAIL — "&amp;"a required cell is empty/placeholder or wrong type")</f>
        <v>PASS</v>
      </c>
    </row>
    <row r="49" customFormat="false" ht="53.7" hidden="false" customHeight="false" outlineLevel="0" collapsed="false">
      <c r="A49" s="11" t="s">
        <v>3045</v>
      </c>
      <c r="B49" s="11" t="s">
        <v>3053</v>
      </c>
      <c r="C49" s="80" t="n">
        <v>261.6</v>
      </c>
      <c r="D49" s="11" t="s">
        <v>27</v>
      </c>
      <c r="E49" s="15" t="s">
        <v>3047</v>
      </c>
      <c r="F49" s="11" t="s">
        <v>3054</v>
      </c>
      <c r="G49" s="14" t="s">
        <v>2917</v>
      </c>
      <c r="H49" s="16" t="str">
        <f aca="false">IF(AND(LEN(TRIM(A49&amp;""))&gt;0,TRIM(A49&amp;"")&lt;&gt;"—",LEN(TRIM(B49&amp;""))&gt;0,TRIM(B49&amp;"")&lt;&gt;"—",LEN(TRIM(C49&amp;""))&gt;0,TRIM(C49&amp;"")&lt;&gt;"—",LEN(TRIM(G49&amp;""))&gt;0,TRIM(G49&amp;"")&lt;&gt;"—"),"PASS","⚠ FAIL — "&amp;"a required cell is empty/placeholder or wrong type")</f>
        <v>PASS</v>
      </c>
    </row>
    <row r="50" customFormat="false" ht="15" hidden="false" customHeight="false" outlineLevel="0" collapsed="false">
      <c r="A50" s="11" t="s">
        <v>3056</v>
      </c>
      <c r="B50" s="11" t="s">
        <v>3057</v>
      </c>
      <c r="C50" s="80" t="n">
        <v>363.6</v>
      </c>
      <c r="D50" s="11" t="s">
        <v>3021</v>
      </c>
      <c r="E50" s="15" t="s">
        <v>2915</v>
      </c>
      <c r="F50" s="11" t="s">
        <v>3058</v>
      </c>
      <c r="G50" s="14" t="s">
        <v>2917</v>
      </c>
      <c r="H50" s="16" t="str">
        <f aca="false">IF(AND(LEN(TRIM(A50&amp;""))&gt;0,TRIM(A50&amp;"")&lt;&gt;"—",LEN(TRIM(B50&amp;""))&gt;0,TRIM(B50&amp;"")&lt;&gt;"—",LEN(TRIM(C50&amp;""))&gt;0,TRIM(C50&amp;"")&lt;&gt;"—",LEN(TRIM(G50&amp;""))&gt;0,TRIM(G50&amp;"")&lt;&gt;"—"),"PASS","⚠ FAIL — "&amp;"a required cell is empty/placeholder or wrong type")</f>
        <v>PASS</v>
      </c>
    </row>
    <row r="51" customFormat="false" ht="15" hidden="false" customHeight="false" outlineLevel="0" collapsed="false">
      <c r="A51" s="11" t="s">
        <v>3056</v>
      </c>
      <c r="B51" s="11" t="s">
        <v>3060</v>
      </c>
      <c r="C51" s="80" t="n">
        <v>8</v>
      </c>
      <c r="D51" s="11" t="s">
        <v>33</v>
      </c>
      <c r="E51" s="15" t="s">
        <v>2915</v>
      </c>
      <c r="F51" s="11" t="s">
        <v>3061</v>
      </c>
      <c r="G51" s="14" t="s">
        <v>2917</v>
      </c>
      <c r="H51" s="16" t="str">
        <f aca="false">IF(AND(LEN(TRIM(A51&amp;""))&gt;0,TRIM(A51&amp;"")&lt;&gt;"—",LEN(TRIM(B51&amp;""))&gt;0,TRIM(B51&amp;"")&lt;&gt;"—",LEN(TRIM(C51&amp;""))&gt;0,TRIM(C51&amp;"")&lt;&gt;"—",LEN(TRIM(G51&amp;""))&gt;0,TRIM(G51&amp;"")&lt;&gt;"—"),"PASS","⚠ FAIL — "&amp;"a required cell is empty/placeholder or wrong type")</f>
        <v>PASS</v>
      </c>
    </row>
    <row r="52" customFormat="false" ht="15" hidden="false" customHeight="false" outlineLevel="0" collapsed="false">
      <c r="A52" s="11" t="s">
        <v>3056</v>
      </c>
      <c r="B52" s="11" t="s">
        <v>3063</v>
      </c>
      <c r="C52" s="80" t="n">
        <v>115727</v>
      </c>
      <c r="D52" s="11" t="s">
        <v>167</v>
      </c>
      <c r="E52" s="15" t="s">
        <v>2915</v>
      </c>
      <c r="F52" s="11" t="s">
        <v>3064</v>
      </c>
      <c r="G52" s="14" t="s">
        <v>2917</v>
      </c>
      <c r="H52" s="16" t="str">
        <f aca="false">IF(AND(LEN(TRIM(A52&amp;""))&gt;0,TRIM(A52&amp;"")&lt;&gt;"—",LEN(TRIM(B52&amp;""))&gt;0,TRIM(B52&amp;"")&lt;&gt;"—",LEN(TRIM(C52&amp;""))&gt;0,TRIM(C52&amp;"")&lt;&gt;"—",LEN(TRIM(G52&amp;""))&gt;0,TRIM(G52&amp;"")&lt;&gt;"—"),"PASS","⚠ FAIL — "&amp;"a required cell is empty/placeholder or wrong type")</f>
        <v>PASS</v>
      </c>
    </row>
    <row r="54" customFormat="false" ht="24" hidden="false" customHeight="true" outlineLevel="0" collapsed="false">
      <c r="A54" s="1" t="s">
        <v>3457</v>
      </c>
      <c r="B54" s="1"/>
      <c r="C54" s="1"/>
      <c r="D54" s="1"/>
      <c r="E54" s="1"/>
      <c r="F54" s="1"/>
      <c r="G54" s="1"/>
      <c r="H54" s="1"/>
    </row>
    <row r="56" customFormat="false" ht="15" hidden="false" customHeight="false" outlineLevel="0" collapsed="false">
      <c r="A56" s="8" t="s">
        <v>3458</v>
      </c>
      <c r="B56" s="8"/>
      <c r="C56" s="8"/>
      <c r="D56" s="8"/>
      <c r="E56" s="8"/>
      <c r="F56" s="8"/>
      <c r="G56" s="8"/>
      <c r="H56" s="8"/>
    </row>
    <row r="57" customFormat="false" ht="15" hidden="false" customHeight="false" outlineLevel="0" collapsed="false">
      <c r="A57" s="9" t="s">
        <v>3459</v>
      </c>
      <c r="B57" s="9" t="s">
        <v>3460</v>
      </c>
      <c r="C57" s="9" t="s">
        <v>15</v>
      </c>
      <c r="D57" s="9" t="s">
        <v>3461</v>
      </c>
      <c r="E57" s="9" t="s">
        <v>3462</v>
      </c>
      <c r="F57" s="9" t="s">
        <v>3463</v>
      </c>
      <c r="G57" s="9" t="s">
        <v>15</v>
      </c>
      <c r="H57" s="9" t="s">
        <v>3464</v>
      </c>
      <c r="I57" s="10" t="s">
        <v>20</v>
      </c>
    </row>
    <row r="58" customFormat="false" ht="15" hidden="false" customHeight="false" outlineLevel="0" collapsed="false">
      <c r="A58" s="17" t="s">
        <v>3465</v>
      </c>
      <c r="D58" s="123" t="s">
        <v>3466</v>
      </c>
      <c r="I58" s="16" t="str">
        <f aca="false">IF(AND(LEN(TRIM(A58&amp;""))&gt;0,TRIM(A58&amp;"")&lt;&gt;"—"),"PASS","⚠ FAIL — "&amp;"a required cell is empty/placeholder or wrong type")</f>
        <v>PASS</v>
      </c>
    </row>
    <row r="59" customFormat="false" ht="15" hidden="false" customHeight="false" outlineLevel="0" collapsed="false">
      <c r="A59" s="123" t="s">
        <v>3467</v>
      </c>
      <c r="B59" s="125" t="n">
        <v>3.102</v>
      </c>
      <c r="C59" s="0" t="s">
        <v>3468</v>
      </c>
      <c r="I59" s="16" t="str">
        <f aca="false">IF(AND(LEN(TRIM(A59&amp;""))&gt;0,TRIM(A59&amp;"")&lt;&gt;"—"),"PASS","⚠ FAIL — "&amp;"a required cell is empty/placeholder or wrong type")</f>
        <v>PASS</v>
      </c>
    </row>
    <row r="60" customFormat="false" ht="15" hidden="false" customHeight="false" outlineLevel="0" collapsed="false">
      <c r="A60" s="123" t="s">
        <v>3469</v>
      </c>
      <c r="B60" s="125" t="n">
        <v>0.239006</v>
      </c>
      <c r="C60" s="0" t="s">
        <v>3470</v>
      </c>
      <c r="I60" s="16" t="str">
        <f aca="false">IF(AND(LEN(TRIM(A60&amp;""))&gt;0,TRIM(A60&amp;"")&lt;&gt;"—"),"PASS","⚠ FAIL — "&amp;"a required cell is empty/placeholder or wrong type")</f>
        <v>PASS</v>
      </c>
    </row>
    <row r="61" customFormat="false" ht="22.35" hidden="false" customHeight="false" outlineLevel="0" collapsed="false">
      <c r="A61" s="17" t="s">
        <v>3471</v>
      </c>
      <c r="B61" s="126" t="n">
        <v>0.741378</v>
      </c>
      <c r="C61" s="0" t="s">
        <v>2914</v>
      </c>
      <c r="D61" s="123" t="s">
        <v>3472</v>
      </c>
      <c r="E61" s="127" t="n">
        <v>0.741</v>
      </c>
      <c r="F61" s="127" t="n">
        <f aca="false">B61-E61</f>
        <v>0.000377999999999989</v>
      </c>
      <c r="G61" s="0" t="s">
        <v>2914</v>
      </c>
      <c r="H61" s="27" t="s">
        <v>3473</v>
      </c>
      <c r="I61" s="16" t="str">
        <f aca="false">IF(AND(LEN(TRIM(A61&amp;""))&gt;0,TRIM(A61&amp;"")&lt;&gt;"—"),"PASS","⚠ FAIL — "&amp;"a required cell is empty/placeholder or wrong type")</f>
        <v>PASS</v>
      </c>
    </row>
    <row r="64" customFormat="false" ht="15" hidden="false" customHeight="false" outlineLevel="0" collapsed="false">
      <c r="A64" s="8" t="s">
        <v>3474</v>
      </c>
      <c r="B64" s="8"/>
      <c r="C64" s="8"/>
      <c r="D64" s="8"/>
      <c r="E64" s="8"/>
      <c r="F64" s="8"/>
      <c r="G64" s="8"/>
      <c r="H64" s="8"/>
    </row>
    <row r="65" customFormat="false" ht="15" hidden="false" customHeight="false" outlineLevel="0" collapsed="false">
      <c r="A65" s="9" t="s">
        <v>3459</v>
      </c>
      <c r="B65" s="9" t="s">
        <v>3460</v>
      </c>
      <c r="C65" s="9" t="s">
        <v>15</v>
      </c>
      <c r="D65" s="9" t="s">
        <v>3461</v>
      </c>
      <c r="E65" s="9" t="s">
        <v>3462</v>
      </c>
      <c r="F65" s="9" t="s">
        <v>3463</v>
      </c>
      <c r="G65" s="9" t="s">
        <v>15</v>
      </c>
      <c r="H65" s="9" t="s">
        <v>3464</v>
      </c>
      <c r="I65" s="10" t="s">
        <v>20</v>
      </c>
    </row>
    <row r="66" customFormat="false" ht="15" hidden="false" customHeight="false" outlineLevel="0" collapsed="false">
      <c r="A66" s="17" t="s">
        <v>3475</v>
      </c>
      <c r="D66" s="123" t="s">
        <v>3476</v>
      </c>
      <c r="I66" s="16" t="str">
        <f aca="false">IF(AND(LEN(TRIM(A66&amp;""))&gt;0,TRIM(A66&amp;"")&lt;&gt;"—"),"PASS","⚠ FAIL — "&amp;"a required cell is empty/placeholder or wrong type")</f>
        <v>PASS</v>
      </c>
    </row>
    <row r="67" customFormat="false" ht="15" hidden="false" customHeight="false" outlineLevel="0" collapsed="false">
      <c r="A67" s="123" t="s">
        <v>3477</v>
      </c>
      <c r="B67" s="125" t="n">
        <v>2.15</v>
      </c>
      <c r="C67" s="0" t="s">
        <v>3478</v>
      </c>
      <c r="I67" s="16" t="str">
        <f aca="false">IF(AND(LEN(TRIM(A67&amp;""))&gt;0,TRIM(A67&amp;"")&lt;&gt;"—"),"PASS","⚠ FAIL — "&amp;"a required cell is empty/placeholder or wrong type")</f>
        <v>PASS</v>
      </c>
    </row>
    <row r="68" customFormat="false" ht="15" hidden="false" customHeight="false" outlineLevel="0" collapsed="false">
      <c r="A68" s="123" t="s">
        <v>3479</v>
      </c>
      <c r="B68" s="125" t="n">
        <v>1.06</v>
      </c>
      <c r="C68" s="0" t="s">
        <v>3478</v>
      </c>
      <c r="I68" s="16" t="str">
        <f aca="false">IF(AND(LEN(TRIM(A68&amp;""))&gt;0,TRIM(A68&amp;"")&lt;&gt;"—"),"PASS","⚠ FAIL — "&amp;"a required cell is empty/placeholder or wrong type")</f>
        <v>PASS</v>
      </c>
    </row>
    <row r="69" customFormat="false" ht="15" hidden="false" customHeight="false" outlineLevel="0" collapsed="false">
      <c r="A69" s="17" t="s">
        <v>3471</v>
      </c>
      <c r="B69" s="126" t="n">
        <v>1.635</v>
      </c>
      <c r="C69" s="0" t="s">
        <v>3478</v>
      </c>
      <c r="D69" s="123" t="s">
        <v>3480</v>
      </c>
      <c r="E69" s="127" t="n">
        <v>1.635</v>
      </c>
      <c r="F69" s="127" t="n">
        <f aca="false">B69-E69</f>
        <v>0</v>
      </c>
      <c r="G69" s="0" t="s">
        <v>3478</v>
      </c>
      <c r="H69" s="27" t="s">
        <v>3481</v>
      </c>
      <c r="I69" s="16" t="str">
        <f aca="false">IF(AND(LEN(TRIM(A69&amp;""))&gt;0,TRIM(A69&amp;"")&lt;&gt;"—"),"PASS","⚠ FAIL — "&amp;"a required cell is empty/placeholder or wrong type")</f>
        <v>PASS</v>
      </c>
    </row>
    <row r="71" customFormat="false" ht="15" hidden="false" customHeight="false" outlineLevel="0" collapsed="false">
      <c r="A71" s="17" t="s">
        <v>3482</v>
      </c>
      <c r="D71" s="123" t="s">
        <v>3483</v>
      </c>
    </row>
    <row r="72" customFormat="false" ht="15" hidden="false" customHeight="false" outlineLevel="0" collapsed="false">
      <c r="A72" s="123" t="s">
        <v>3477</v>
      </c>
      <c r="B72" s="125" t="n">
        <v>2.15</v>
      </c>
      <c r="C72" s="0" t="s">
        <v>3478</v>
      </c>
    </row>
    <row r="73" customFormat="false" ht="15" hidden="false" customHeight="false" outlineLevel="0" collapsed="false">
      <c r="A73" s="123" t="s">
        <v>3484</v>
      </c>
      <c r="B73" s="126" t="n">
        <f aca="false">$B$69</f>
        <v>1.635</v>
      </c>
      <c r="C73" s="0" t="s">
        <v>3478</v>
      </c>
      <c r="H73" s="10" t="s">
        <v>3485</v>
      </c>
    </row>
    <row r="74" customFormat="false" ht="15" hidden="false" customHeight="false" outlineLevel="0" collapsed="false">
      <c r="A74" s="17" t="s">
        <v>3471</v>
      </c>
      <c r="B74" s="126" t="n">
        <v>0.515</v>
      </c>
      <c r="C74" s="0" t="s">
        <v>3478</v>
      </c>
      <c r="D74" s="123" t="s">
        <v>3486</v>
      </c>
      <c r="E74" s="127" t="n">
        <v>0.515</v>
      </c>
      <c r="F74" s="127" t="n">
        <f aca="false">B74-E74</f>
        <v>0</v>
      </c>
      <c r="G74" s="0" t="s">
        <v>3478</v>
      </c>
      <c r="H74" s="27" t="s">
        <v>3487</v>
      </c>
    </row>
    <row r="76" customFormat="false" ht="15" hidden="false" customHeight="false" outlineLevel="0" collapsed="false">
      <c r="A76" s="17" t="s">
        <v>3488</v>
      </c>
      <c r="D76" s="123" t="s">
        <v>3489</v>
      </c>
    </row>
    <row r="77" customFormat="false" ht="15" hidden="false" customHeight="false" outlineLevel="0" collapsed="false">
      <c r="A77" s="123" t="s">
        <v>3490</v>
      </c>
      <c r="B77" s="125" t="n">
        <v>1</v>
      </c>
    </row>
    <row r="78" customFormat="false" ht="15" hidden="false" customHeight="false" outlineLevel="0" collapsed="false">
      <c r="A78" s="123" t="s">
        <v>3484</v>
      </c>
      <c r="B78" s="126" t="n">
        <f aca="false">$B$69</f>
        <v>1.635</v>
      </c>
      <c r="C78" s="0" t="s">
        <v>3478</v>
      </c>
      <c r="H78" s="10" t="s">
        <v>3485</v>
      </c>
    </row>
    <row r="79" customFormat="false" ht="15" hidden="false" customHeight="false" outlineLevel="0" collapsed="false">
      <c r="A79" s="123" t="s">
        <v>3491</v>
      </c>
      <c r="B79" s="126" t="n">
        <f aca="false">$B$74</f>
        <v>0.515</v>
      </c>
      <c r="C79" s="0" t="s">
        <v>3478</v>
      </c>
      <c r="H79" s="10" t="s">
        <v>3492</v>
      </c>
    </row>
    <row r="80" customFormat="false" ht="15" hidden="false" customHeight="false" outlineLevel="0" collapsed="false">
      <c r="A80" s="123" t="s">
        <v>3493</v>
      </c>
      <c r="B80" s="125" t="n">
        <v>5</v>
      </c>
      <c r="C80" s="0" t="s">
        <v>3478</v>
      </c>
    </row>
    <row r="81" customFormat="false" ht="15" hidden="false" customHeight="false" outlineLevel="0" collapsed="false">
      <c r="A81" s="17" t="s">
        <v>3471</v>
      </c>
      <c r="B81" s="126" t="n">
        <v>0.296464188576609</v>
      </c>
      <c r="D81" s="123" t="s">
        <v>3494</v>
      </c>
      <c r="E81" s="127" t="n">
        <v>0.296464</v>
      </c>
      <c r="F81" s="127" t="n">
        <f aca="false">B81-E81</f>
        <v>1.88576609272406E-007</v>
      </c>
      <c r="H81" s="27" t="s">
        <v>3495</v>
      </c>
    </row>
    <row r="83" customFormat="false" ht="15" hidden="false" customHeight="false" outlineLevel="0" collapsed="false">
      <c r="A83" s="17" t="s">
        <v>3496</v>
      </c>
      <c r="D83" s="123" t="s">
        <v>3497</v>
      </c>
    </row>
    <row r="84" customFormat="false" ht="15" hidden="false" customHeight="false" outlineLevel="0" collapsed="false">
      <c r="A84" s="123" t="s">
        <v>3498</v>
      </c>
      <c r="B84" s="126" t="n">
        <f aca="false">$B$81</f>
        <v>0.296464188576609</v>
      </c>
      <c r="H84" s="10" t="s">
        <v>3499</v>
      </c>
    </row>
    <row r="85" customFormat="false" ht="15" hidden="false" customHeight="false" outlineLevel="0" collapsed="false">
      <c r="A85" s="123" t="s">
        <v>3500</v>
      </c>
      <c r="B85" s="125" t="n">
        <v>1.635</v>
      </c>
      <c r="C85" s="0" t="s">
        <v>3478</v>
      </c>
    </row>
    <row r="86" customFormat="false" ht="15" hidden="false" customHeight="false" outlineLevel="0" collapsed="false">
      <c r="A86" s="17" t="s">
        <v>3471</v>
      </c>
      <c r="B86" s="126" t="n">
        <v>0.181345565749236</v>
      </c>
      <c r="C86" s="0" t="s">
        <v>3501</v>
      </c>
      <c r="D86" s="123" t="s">
        <v>3502</v>
      </c>
      <c r="E86" s="127" t="n">
        <v>0.181324</v>
      </c>
      <c r="F86" s="127" t="n">
        <f aca="false">B86-E86</f>
        <v>2.15657492354804E-005</v>
      </c>
      <c r="G86" s="0" t="s">
        <v>3501</v>
      </c>
      <c r="H86" s="27" t="s">
        <v>3503</v>
      </c>
    </row>
    <row r="89" customFormat="false" ht="15" hidden="false" customHeight="false" outlineLevel="0" collapsed="false">
      <c r="A89" s="8" t="s">
        <v>3504</v>
      </c>
      <c r="B89" s="8"/>
      <c r="C89" s="8"/>
      <c r="D89" s="8"/>
      <c r="E89" s="8"/>
      <c r="F89" s="8"/>
      <c r="G89" s="8"/>
      <c r="H89" s="8"/>
    </row>
    <row r="90" customFormat="false" ht="15" hidden="false" customHeight="false" outlineLevel="0" collapsed="false">
      <c r="A90" s="9" t="s">
        <v>3459</v>
      </c>
      <c r="B90" s="9" t="s">
        <v>3460</v>
      </c>
      <c r="C90" s="9" t="s">
        <v>15</v>
      </c>
      <c r="D90" s="9" t="s">
        <v>3461</v>
      </c>
      <c r="E90" s="9" t="s">
        <v>3462</v>
      </c>
      <c r="F90" s="9" t="s">
        <v>3463</v>
      </c>
      <c r="G90" s="9" t="s">
        <v>15</v>
      </c>
      <c r="H90" s="9" t="s">
        <v>3464</v>
      </c>
      <c r="I90" s="10" t="s">
        <v>20</v>
      </c>
    </row>
    <row r="91" customFormat="false" ht="15" hidden="false" customHeight="false" outlineLevel="0" collapsed="false">
      <c r="A91" s="17" t="s">
        <v>3505</v>
      </c>
      <c r="D91" s="123" t="s">
        <v>3506</v>
      </c>
      <c r="I91" s="16" t="str">
        <f aca="false">IF(AND(LEN(TRIM(A91&amp;""))&gt;0,TRIM(A91&amp;"")&lt;&gt;"—"),"PASS","⚠ FAIL — "&amp;"a required cell is empty/placeholder or wrong type")</f>
        <v>PASS</v>
      </c>
    </row>
    <row r="92" customFormat="false" ht="15" hidden="false" customHeight="false" outlineLevel="0" collapsed="false">
      <c r="A92" s="123" t="s">
        <v>3507</v>
      </c>
      <c r="B92" s="125" t="n">
        <v>108.25</v>
      </c>
      <c r="C92" s="0" t="s">
        <v>1568</v>
      </c>
      <c r="I92" s="16" t="str">
        <f aca="false">IF(AND(LEN(TRIM(A92&amp;""))&gt;0,TRIM(A92&amp;"")&lt;&gt;"—"),"PASS","⚠ FAIL — "&amp;"a required cell is empty/placeholder or wrong type")</f>
        <v>PASS</v>
      </c>
    </row>
    <row r="93" customFormat="false" ht="15" hidden="false" customHeight="false" outlineLevel="0" collapsed="false">
      <c r="A93" s="123" t="s">
        <v>3508</v>
      </c>
      <c r="B93" s="125" t="n">
        <v>1</v>
      </c>
      <c r="I93" s="16" t="str">
        <f aca="false">IF(AND(LEN(TRIM(A93&amp;""))&gt;0,TRIM(A93&amp;"")&lt;&gt;"—"),"PASS","⚠ FAIL — "&amp;"a required cell is empty/placeholder or wrong type")</f>
        <v>PASS</v>
      </c>
    </row>
    <row r="94" customFormat="false" ht="15" hidden="false" customHeight="false" outlineLevel="0" collapsed="false">
      <c r="A94" s="123" t="s">
        <v>3509</v>
      </c>
      <c r="B94" s="125" t="n">
        <v>1</v>
      </c>
      <c r="I94" s="16" t="str">
        <f aca="false">IF(AND(LEN(TRIM(A94&amp;""))&gt;0,TRIM(A94&amp;"")&lt;&gt;"—"),"PASS","⚠ FAIL — "&amp;"a required cell is empty/placeholder or wrong type")</f>
        <v>PASS</v>
      </c>
    </row>
    <row r="95" customFormat="false" ht="15" hidden="false" customHeight="false" outlineLevel="0" collapsed="false">
      <c r="A95" s="17" t="s">
        <v>3471</v>
      </c>
      <c r="B95" s="126" t="n">
        <v>108.25</v>
      </c>
      <c r="C95" s="0" t="s">
        <v>1568</v>
      </c>
      <c r="D95" s="123" t="s">
        <v>3510</v>
      </c>
      <c r="E95" s="127" t="n">
        <v>108.25</v>
      </c>
      <c r="F95" s="127" t="n">
        <f aca="false">B95-E95</f>
        <v>0</v>
      </c>
      <c r="G95" s="0" t="s">
        <v>1568</v>
      </c>
      <c r="H95" s="27" t="s">
        <v>3511</v>
      </c>
      <c r="I95" s="16" t="str">
        <f aca="false">IF(AND(LEN(TRIM(A95&amp;""))&gt;0,TRIM(A95&amp;"")&lt;&gt;"—"),"PASS","⚠ FAIL — "&amp;"a required cell is empty/placeholder or wrong type")</f>
        <v>PASS</v>
      </c>
    </row>
    <row r="97" customFormat="false" ht="15" hidden="false" customHeight="false" outlineLevel="0" collapsed="false">
      <c r="A97" s="17" t="s">
        <v>3512</v>
      </c>
      <c r="D97" s="123" t="s">
        <v>3513</v>
      </c>
    </row>
    <row r="98" customFormat="false" ht="15" hidden="false" customHeight="false" outlineLevel="0" collapsed="false">
      <c r="A98" s="123" t="s">
        <v>3514</v>
      </c>
      <c r="B98" s="126" t="n">
        <f aca="false">$B$95</f>
        <v>108.25</v>
      </c>
      <c r="C98" s="0" t="s">
        <v>1568</v>
      </c>
      <c r="H98" s="10" t="s">
        <v>3515</v>
      </c>
    </row>
    <row r="99" customFormat="false" ht="15" hidden="false" customHeight="false" outlineLevel="0" collapsed="false">
      <c r="A99" s="123" t="s">
        <v>3516</v>
      </c>
      <c r="B99" s="125" t="n">
        <v>1</v>
      </c>
    </row>
    <row r="100" customFormat="false" ht="15" hidden="false" customHeight="false" outlineLevel="0" collapsed="false">
      <c r="A100" s="17" t="s">
        <v>3471</v>
      </c>
      <c r="B100" s="126" t="n">
        <v>25</v>
      </c>
      <c r="C100" s="0" t="s">
        <v>2925</v>
      </c>
      <c r="D100" s="123" t="s">
        <v>3517</v>
      </c>
      <c r="E100" s="127" t="n">
        <v>25</v>
      </c>
      <c r="F100" s="127" t="n">
        <f aca="false">B100-E100</f>
        <v>0</v>
      </c>
      <c r="G100" s="0" t="s">
        <v>2925</v>
      </c>
      <c r="H100" s="27" t="s">
        <v>3518</v>
      </c>
    </row>
    <row r="102" customFormat="false" ht="15" hidden="false" customHeight="false" outlineLevel="0" collapsed="false">
      <c r="A102" s="17" t="s">
        <v>3519</v>
      </c>
      <c r="D102" s="123" t="s">
        <v>3520</v>
      </c>
    </row>
    <row r="103" customFormat="false" ht="15" hidden="false" customHeight="false" outlineLevel="0" collapsed="false">
      <c r="A103" s="123" t="s">
        <v>3521</v>
      </c>
      <c r="B103" s="125" t="n">
        <v>1.5</v>
      </c>
      <c r="C103" s="0" t="s">
        <v>3522</v>
      </c>
    </row>
    <row r="104" customFormat="false" ht="15" hidden="false" customHeight="false" outlineLevel="0" collapsed="false">
      <c r="A104" s="123" t="s">
        <v>3507</v>
      </c>
      <c r="B104" s="125" t="n">
        <v>108.25</v>
      </c>
      <c r="C104" s="0" t="s">
        <v>1568</v>
      </c>
    </row>
    <row r="105" customFormat="false" ht="15" hidden="false" customHeight="false" outlineLevel="0" collapsed="false">
      <c r="A105" s="123" t="s">
        <v>3493</v>
      </c>
      <c r="B105" s="125" t="n">
        <v>50</v>
      </c>
      <c r="C105" s="0" t="s">
        <v>2994</v>
      </c>
    </row>
    <row r="106" customFormat="false" ht="15" hidden="false" customHeight="false" outlineLevel="0" collapsed="false">
      <c r="A106" s="123" t="s">
        <v>3516</v>
      </c>
      <c r="B106" s="125" t="n">
        <v>1</v>
      </c>
    </row>
    <row r="107" customFormat="false" ht="15" hidden="false" customHeight="false" outlineLevel="0" collapsed="false">
      <c r="A107" s="17" t="s">
        <v>3471</v>
      </c>
      <c r="B107" s="126" t="n">
        <v>8.11875</v>
      </c>
      <c r="C107" s="0" t="s">
        <v>3523</v>
      </c>
      <c r="D107" s="123" t="s">
        <v>3524</v>
      </c>
      <c r="E107" s="127" t="n">
        <v>8.119</v>
      </c>
      <c r="F107" s="127" t="n">
        <f aca="false">B107-E107</f>
        <v>-0.000249999999999417</v>
      </c>
      <c r="G107" s="0" t="s">
        <v>3523</v>
      </c>
      <c r="H107" s="27" t="s">
        <v>3525</v>
      </c>
    </row>
    <row r="109" customFormat="false" ht="15" hidden="false" customHeight="false" outlineLevel="0" collapsed="false">
      <c r="A109" s="17" t="s">
        <v>3526</v>
      </c>
      <c r="D109" s="123" t="s">
        <v>3527</v>
      </c>
    </row>
    <row r="110" customFormat="false" ht="15" hidden="false" customHeight="false" outlineLevel="0" collapsed="false">
      <c r="A110" s="123" t="s">
        <v>3528</v>
      </c>
      <c r="B110" s="126" t="n">
        <f aca="false">$B$107</f>
        <v>8.11875</v>
      </c>
      <c r="C110" s="0" t="s">
        <v>3523</v>
      </c>
      <c r="H110" s="10" t="s">
        <v>3529</v>
      </c>
    </row>
    <row r="111" customFormat="false" ht="15" hidden="false" customHeight="false" outlineLevel="0" collapsed="false">
      <c r="A111" s="123" t="s">
        <v>3530</v>
      </c>
      <c r="B111" s="125" t="n">
        <v>400</v>
      </c>
      <c r="C111" s="0" t="s">
        <v>3523</v>
      </c>
    </row>
    <row r="112" customFormat="false" ht="15" hidden="false" customHeight="false" outlineLevel="0" collapsed="false">
      <c r="A112" s="17" t="s">
        <v>3471</v>
      </c>
      <c r="B112" s="126" t="n">
        <v>2.02975</v>
      </c>
      <c r="C112" s="0" t="s">
        <v>42</v>
      </c>
      <c r="D112" s="123" t="s">
        <v>3531</v>
      </c>
      <c r="E112" s="127" t="n">
        <v>2.03</v>
      </c>
      <c r="F112" s="127" t="n">
        <f aca="false">B112-E112</f>
        <v>-0.000249999999999861</v>
      </c>
      <c r="G112" s="0" t="s">
        <v>42</v>
      </c>
      <c r="H112" s="27" t="s">
        <v>3532</v>
      </c>
    </row>
    <row r="115" customFormat="false" ht="15" hidden="false" customHeight="false" outlineLevel="0" collapsed="false">
      <c r="A115" s="8" t="s">
        <v>3533</v>
      </c>
      <c r="B115" s="8"/>
      <c r="C115" s="8"/>
      <c r="D115" s="8"/>
      <c r="E115" s="8"/>
      <c r="F115" s="8"/>
      <c r="G115" s="8"/>
      <c r="H115" s="8"/>
    </row>
    <row r="116" customFormat="false" ht="15" hidden="false" customHeight="false" outlineLevel="0" collapsed="false">
      <c r="A116" s="9" t="s">
        <v>3459</v>
      </c>
      <c r="B116" s="9" t="s">
        <v>3460</v>
      </c>
      <c r="C116" s="9" t="s">
        <v>15</v>
      </c>
      <c r="D116" s="9" t="s">
        <v>3461</v>
      </c>
      <c r="E116" s="9" t="s">
        <v>3462</v>
      </c>
      <c r="F116" s="9" t="s">
        <v>3463</v>
      </c>
      <c r="G116" s="9" t="s">
        <v>15</v>
      </c>
      <c r="H116" s="9" t="s">
        <v>3464</v>
      </c>
      <c r="I116" s="10" t="s">
        <v>20</v>
      </c>
    </row>
    <row r="117" customFormat="false" ht="15" hidden="false" customHeight="false" outlineLevel="0" collapsed="false">
      <c r="A117" s="17" t="s">
        <v>3534</v>
      </c>
      <c r="D117" s="123" t="s">
        <v>3535</v>
      </c>
      <c r="I117" s="16" t="str">
        <f aca="false">IF(AND(LEN(TRIM(A117&amp;""))&gt;0,TRIM(A117&amp;"")&lt;&gt;"—"),"PASS","⚠ FAIL — "&amp;"a required cell is empty/placeholder or wrong type")</f>
        <v>PASS</v>
      </c>
    </row>
    <row r="118" customFormat="false" ht="15" hidden="false" customHeight="false" outlineLevel="0" collapsed="false">
      <c r="A118" s="123" t="s">
        <v>3536</v>
      </c>
      <c r="B118" s="125" t="n">
        <v>53</v>
      </c>
      <c r="C118" s="0" t="s">
        <v>1588</v>
      </c>
      <c r="I118" s="16" t="str">
        <f aca="false">IF(AND(LEN(TRIM(A118&amp;""))&gt;0,TRIM(A118&amp;"")&lt;&gt;"—"),"PASS","⚠ FAIL — "&amp;"a required cell is empty/placeholder or wrong type")</f>
        <v>PASS</v>
      </c>
    </row>
    <row r="119" customFormat="false" ht="15" hidden="false" customHeight="false" outlineLevel="0" collapsed="false">
      <c r="A119" s="123" t="s">
        <v>3537</v>
      </c>
      <c r="B119" s="125" t="n">
        <v>0.85</v>
      </c>
      <c r="I119" s="16" t="str">
        <f aca="false">IF(AND(LEN(TRIM(A119&amp;""))&gt;0,TRIM(A119&amp;"")&lt;&gt;"—"),"PASS","⚠ FAIL — "&amp;"a required cell is empty/placeholder or wrong type")</f>
        <v>PASS</v>
      </c>
    </row>
    <row r="120" customFormat="false" ht="15" hidden="false" customHeight="false" outlineLevel="0" collapsed="false">
      <c r="A120" s="17" t="s">
        <v>3471</v>
      </c>
      <c r="B120" s="126" t="n">
        <v>62.3529411764706</v>
      </c>
      <c r="C120" s="0" t="s">
        <v>1585</v>
      </c>
      <c r="D120" s="123" t="s">
        <v>3538</v>
      </c>
      <c r="E120" s="127" t="n">
        <v>62.35</v>
      </c>
      <c r="F120" s="127" t="n">
        <f aca="false">B120-E120</f>
        <v>0.00294117647058556</v>
      </c>
      <c r="G120" s="0" t="s">
        <v>1585</v>
      </c>
      <c r="H120" s="27" t="s">
        <v>3539</v>
      </c>
      <c r="I120" s="16" t="str">
        <f aca="false">IF(AND(LEN(TRIM(A120&amp;""))&gt;0,TRIM(A120&amp;"")&lt;&gt;"—"),"PASS","⚠ FAIL — "&amp;"a required cell is empty/placeholder or wrong type")</f>
        <v>PASS</v>
      </c>
    </row>
    <row r="122" customFormat="false" ht="15" hidden="false" customHeight="false" outlineLevel="0" collapsed="false">
      <c r="A122" s="17" t="s">
        <v>3540</v>
      </c>
      <c r="D122" s="123" t="s">
        <v>3541</v>
      </c>
    </row>
    <row r="123" customFormat="false" ht="15" hidden="false" customHeight="false" outlineLevel="0" collapsed="false">
      <c r="A123" s="123" t="s">
        <v>3536</v>
      </c>
      <c r="B123" s="125" t="n">
        <v>53</v>
      </c>
      <c r="C123" s="0" t="s">
        <v>1588</v>
      </c>
    </row>
    <row r="124" customFormat="false" ht="15" hidden="false" customHeight="false" outlineLevel="0" collapsed="false">
      <c r="A124" s="123" t="s">
        <v>3542</v>
      </c>
      <c r="B124" s="125" t="n">
        <v>0.25</v>
      </c>
    </row>
    <row r="125" customFormat="false" ht="15" hidden="false" customHeight="false" outlineLevel="0" collapsed="false">
      <c r="A125" s="17" t="s">
        <v>3471</v>
      </c>
      <c r="B125" s="126" t="n">
        <v>66.25</v>
      </c>
      <c r="C125" s="0" t="s">
        <v>1585</v>
      </c>
      <c r="D125" s="123" t="s">
        <v>3543</v>
      </c>
      <c r="E125" s="127" t="n">
        <v>66.25</v>
      </c>
      <c r="F125" s="127" t="n">
        <f aca="false">B125-E125</f>
        <v>0</v>
      </c>
      <c r="G125" s="0" t="s">
        <v>1585</v>
      </c>
      <c r="H125" s="27" t="s">
        <v>3544</v>
      </c>
    </row>
    <row r="127" customFormat="false" ht="15" hidden="false" customHeight="false" outlineLevel="0" collapsed="false">
      <c r="A127" s="17" t="s">
        <v>3545</v>
      </c>
      <c r="D127" s="123" t="s">
        <v>3546</v>
      </c>
    </row>
    <row r="128" customFormat="false" ht="15" hidden="false" customHeight="false" outlineLevel="0" collapsed="false">
      <c r="A128" s="123" t="s">
        <v>3547</v>
      </c>
      <c r="B128" s="126" t="n">
        <f aca="false">$B$125</f>
        <v>66.25</v>
      </c>
      <c r="C128" s="0" t="s">
        <v>1585</v>
      </c>
      <c r="H128" s="10" t="s">
        <v>3548</v>
      </c>
    </row>
    <row r="129" customFormat="false" ht="22.35" hidden="false" customHeight="false" outlineLevel="0" collapsed="false">
      <c r="A129" s="17" t="s">
        <v>3471</v>
      </c>
      <c r="B129" s="126" t="n">
        <v>75</v>
      </c>
      <c r="C129" s="0" t="s">
        <v>1585</v>
      </c>
      <c r="D129" s="123" t="s">
        <v>3549</v>
      </c>
      <c r="E129" s="127" t="n">
        <v>75</v>
      </c>
      <c r="F129" s="127" t="n">
        <f aca="false">B129-E129</f>
        <v>0</v>
      </c>
      <c r="G129" s="0" t="s">
        <v>1585</v>
      </c>
      <c r="H129" s="27" t="s">
        <v>3550</v>
      </c>
    </row>
    <row r="131" customFormat="false" ht="15" hidden="false" customHeight="false" outlineLevel="0" collapsed="false">
      <c r="A131" s="17" t="s">
        <v>3551</v>
      </c>
      <c r="D131" s="123" t="s">
        <v>3552</v>
      </c>
    </row>
    <row r="132" customFormat="false" ht="15" hidden="false" customHeight="false" outlineLevel="0" collapsed="false">
      <c r="A132" s="123" t="s">
        <v>3553</v>
      </c>
      <c r="B132" s="125" t="n">
        <v>75</v>
      </c>
      <c r="C132" s="0" t="s">
        <v>1585</v>
      </c>
    </row>
    <row r="133" customFormat="false" ht="15" hidden="false" customHeight="false" outlineLevel="0" collapsed="false">
      <c r="A133" s="123" t="s">
        <v>3554</v>
      </c>
      <c r="B133" s="125" t="n">
        <v>11000</v>
      </c>
      <c r="C133" s="0" t="s">
        <v>3523</v>
      </c>
    </row>
    <row r="134" customFormat="false" ht="15" hidden="false" customHeight="false" outlineLevel="0" collapsed="false">
      <c r="A134" s="17" t="s">
        <v>3471</v>
      </c>
      <c r="B134" s="126" t="n">
        <v>3.93647910811109</v>
      </c>
      <c r="C134" s="0" t="s">
        <v>1568</v>
      </c>
      <c r="D134" s="123" t="s">
        <v>3555</v>
      </c>
      <c r="E134" s="127" t="n">
        <v>3.94</v>
      </c>
      <c r="F134" s="127" t="n">
        <f aca="false">B134-E134</f>
        <v>-0.00352089188891513</v>
      </c>
      <c r="G134" s="0" t="s">
        <v>1568</v>
      </c>
      <c r="H134" s="27" t="s">
        <v>3556</v>
      </c>
    </row>
    <row r="136" customFormat="false" ht="15" hidden="false" customHeight="false" outlineLevel="0" collapsed="false">
      <c r="A136" s="17" t="s">
        <v>3557</v>
      </c>
      <c r="D136" s="123" t="s">
        <v>3552</v>
      </c>
    </row>
    <row r="137" customFormat="false" ht="15" hidden="false" customHeight="false" outlineLevel="0" collapsed="false">
      <c r="A137" s="123" t="s">
        <v>3553</v>
      </c>
      <c r="B137" s="125" t="n">
        <v>75</v>
      </c>
      <c r="C137" s="0" t="s">
        <v>1585</v>
      </c>
    </row>
    <row r="138" customFormat="false" ht="15" hidden="false" customHeight="false" outlineLevel="0" collapsed="false">
      <c r="A138" s="123" t="s">
        <v>3554</v>
      </c>
      <c r="B138" s="125" t="n">
        <v>400</v>
      </c>
      <c r="C138" s="0" t="s">
        <v>3523</v>
      </c>
    </row>
    <row r="139" customFormat="false" ht="15" hidden="false" customHeight="false" outlineLevel="0" collapsed="false">
      <c r="A139" s="17" t="s">
        <v>3471</v>
      </c>
      <c r="B139" s="126" t="n">
        <v>108.253175473055</v>
      </c>
      <c r="C139" s="0" t="s">
        <v>1568</v>
      </c>
      <c r="D139" s="123" t="s">
        <v>3555</v>
      </c>
      <c r="E139" s="127" t="n">
        <v>108.25</v>
      </c>
      <c r="F139" s="127" t="n">
        <f aca="false">B139-E139</f>
        <v>0.00317547305479593</v>
      </c>
      <c r="G139" s="0" t="s">
        <v>1568</v>
      </c>
      <c r="H139" s="27" t="s">
        <v>3556</v>
      </c>
    </row>
    <row r="142" customFormat="false" ht="15" hidden="false" customHeight="false" outlineLevel="0" collapsed="false">
      <c r="A142" s="8" t="s">
        <v>3558</v>
      </c>
      <c r="B142" s="8"/>
      <c r="C142" s="8"/>
      <c r="D142" s="8"/>
      <c r="E142" s="8"/>
      <c r="F142" s="8"/>
      <c r="G142" s="8"/>
      <c r="H142" s="8"/>
    </row>
    <row r="143" customFormat="false" ht="15" hidden="false" customHeight="false" outlineLevel="0" collapsed="false">
      <c r="A143" s="9" t="s">
        <v>3459</v>
      </c>
      <c r="B143" s="9" t="s">
        <v>3460</v>
      </c>
      <c r="C143" s="9" t="s">
        <v>15</v>
      </c>
      <c r="D143" s="9" t="s">
        <v>3461</v>
      </c>
      <c r="E143" s="9" t="s">
        <v>3462</v>
      </c>
      <c r="F143" s="9" t="s">
        <v>3463</v>
      </c>
      <c r="G143" s="9" t="s">
        <v>15</v>
      </c>
      <c r="H143" s="9" t="s">
        <v>3464</v>
      </c>
      <c r="I143" s="10" t="s">
        <v>20</v>
      </c>
    </row>
    <row r="144" customFormat="false" ht="15" hidden="false" customHeight="false" outlineLevel="0" collapsed="false">
      <c r="A144" s="17" t="s">
        <v>3559</v>
      </c>
      <c r="D144" s="123" t="s">
        <v>3560</v>
      </c>
      <c r="I144" s="16" t="str">
        <f aca="false">IF(AND(LEN(TRIM(A144&amp;""))&gt;0,TRIM(A144&amp;"")&lt;&gt;"—"),"PASS","⚠ FAIL — "&amp;"a required cell is empty/placeholder or wrong type")</f>
        <v>PASS</v>
      </c>
    </row>
    <row r="145" customFormat="false" ht="15" hidden="false" customHeight="false" outlineLevel="0" collapsed="false">
      <c r="A145" s="123" t="s">
        <v>3561</v>
      </c>
      <c r="B145" s="125" t="n">
        <v>14.5</v>
      </c>
      <c r="I145" s="16" t="str">
        <f aca="false">IF(AND(LEN(TRIM(A145&amp;""))&gt;0,TRIM(A145&amp;"")&lt;&gt;"—"),"PASS","⚠ FAIL — "&amp;"a required cell is empty/placeholder or wrong type")</f>
        <v>PASS</v>
      </c>
    </row>
    <row r="146" customFormat="false" ht="15" hidden="false" customHeight="false" outlineLevel="0" collapsed="false">
      <c r="A146" s="123" t="s">
        <v>3562</v>
      </c>
      <c r="B146" s="125" t="n">
        <v>10</v>
      </c>
      <c r="I146" s="16" t="str">
        <f aca="false">IF(AND(LEN(TRIM(A146&amp;""))&gt;0,TRIM(A146&amp;"")&lt;&gt;"—"),"PASS","⚠ FAIL — "&amp;"a required cell is empty/placeholder or wrong type")</f>
        <v>PASS</v>
      </c>
    </row>
    <row r="147" customFormat="false" ht="15" hidden="false" customHeight="false" outlineLevel="0" collapsed="false">
      <c r="A147" s="17" t="s">
        <v>3471</v>
      </c>
      <c r="B147" s="126" t="n">
        <v>2.41666666666667</v>
      </c>
      <c r="C147" s="0" t="s">
        <v>27</v>
      </c>
      <c r="D147" s="123" t="s">
        <v>3560</v>
      </c>
      <c r="E147" s="127" t="n">
        <v>2.41666666666667</v>
      </c>
      <c r="F147" s="127" t="n">
        <f aca="false">B147-E147</f>
        <v>0</v>
      </c>
      <c r="G147" s="0" t="s">
        <v>27</v>
      </c>
      <c r="I147" s="16" t="str">
        <f aca="false">IF(AND(LEN(TRIM(A147&amp;""))&gt;0,TRIM(A147&amp;"")&lt;&gt;"—"),"PASS","⚠ FAIL — "&amp;"a required cell is empty/placeholder or wrong type")</f>
        <v>PASS</v>
      </c>
    </row>
    <row r="149" customFormat="false" ht="15" hidden="false" customHeight="false" outlineLevel="0" collapsed="false">
      <c r="A149" s="17" t="s">
        <v>3563</v>
      </c>
      <c r="D149" s="123" t="s">
        <v>3564</v>
      </c>
    </row>
    <row r="150" customFormat="false" ht="15" hidden="false" customHeight="false" outlineLevel="0" collapsed="false">
      <c r="A150" s="123" t="s">
        <v>3561</v>
      </c>
      <c r="B150" s="125" t="n">
        <v>14.5</v>
      </c>
    </row>
    <row r="151" customFormat="false" ht="15" hidden="false" customHeight="false" outlineLevel="0" collapsed="false">
      <c r="A151" s="123" t="s">
        <v>3565</v>
      </c>
      <c r="B151" s="125" t="n">
        <v>10</v>
      </c>
    </row>
    <row r="152" customFormat="false" ht="15" hidden="false" customHeight="false" outlineLevel="0" collapsed="false">
      <c r="A152" s="17" t="s">
        <v>3471</v>
      </c>
      <c r="B152" s="126" t="n">
        <v>1.45</v>
      </c>
      <c r="C152" s="0" t="s">
        <v>3021</v>
      </c>
      <c r="D152" s="123" t="s">
        <v>3564</v>
      </c>
      <c r="E152" s="127" t="n">
        <v>1.45</v>
      </c>
      <c r="F152" s="127" t="n">
        <f aca="false">B152-E152</f>
        <v>0</v>
      </c>
      <c r="G152" s="0" t="s">
        <v>3021</v>
      </c>
    </row>
    <row r="154" customFormat="false" ht="15" hidden="false" customHeight="false" outlineLevel="0" collapsed="false">
      <c r="A154" s="17" t="s">
        <v>3566</v>
      </c>
      <c r="D154" s="123" t="s">
        <v>3567</v>
      </c>
    </row>
    <row r="155" customFormat="false" ht="15" hidden="false" customHeight="false" outlineLevel="0" collapsed="false">
      <c r="A155" s="123" t="s">
        <v>3568</v>
      </c>
      <c r="B155" s="125" t="n">
        <v>1.45</v>
      </c>
    </row>
    <row r="156" customFormat="false" ht="15" hidden="false" customHeight="false" outlineLevel="0" collapsed="false">
      <c r="A156" s="123" t="s">
        <v>3569</v>
      </c>
      <c r="B156" s="126" t="n">
        <f aca="false">$B$9</f>
        <v>3.14159265358979</v>
      </c>
      <c r="H156" s="10" t="s">
        <v>3570</v>
      </c>
    </row>
    <row r="157" customFormat="false" ht="15" hidden="false" customHeight="false" outlineLevel="0" collapsed="false">
      <c r="A157" s="17" t="s">
        <v>3471</v>
      </c>
      <c r="B157" s="126" t="n">
        <v>1.35874685746228</v>
      </c>
      <c r="C157" s="0" t="s">
        <v>2994</v>
      </c>
      <c r="D157" s="123" t="s">
        <v>3567</v>
      </c>
      <c r="E157" s="127" t="n">
        <v>1.35874844613195</v>
      </c>
      <c r="F157" s="127" t="n">
        <f aca="false">B157-E157</f>
        <v>-1.58866967292504E-006</v>
      </c>
      <c r="G157" s="0" t="s">
        <v>2994</v>
      </c>
    </row>
    <row r="160" customFormat="false" ht="15" hidden="false" customHeight="false" outlineLevel="0" collapsed="false">
      <c r="A160" s="8" t="s">
        <v>3571</v>
      </c>
      <c r="B160" s="8"/>
      <c r="C160" s="8"/>
      <c r="D160" s="8"/>
      <c r="E160" s="8"/>
      <c r="F160" s="8"/>
      <c r="G160" s="8"/>
      <c r="H160" s="8"/>
    </row>
    <row r="161" customFormat="false" ht="15" hidden="false" customHeight="false" outlineLevel="0" collapsed="false">
      <c r="A161" s="9" t="s">
        <v>3459</v>
      </c>
      <c r="B161" s="9" t="s">
        <v>3460</v>
      </c>
      <c r="C161" s="9" t="s">
        <v>15</v>
      </c>
      <c r="D161" s="9" t="s">
        <v>3461</v>
      </c>
      <c r="E161" s="9" t="s">
        <v>3462</v>
      </c>
      <c r="F161" s="9" t="s">
        <v>3463</v>
      </c>
      <c r="G161" s="9" t="s">
        <v>15</v>
      </c>
      <c r="H161" s="9" t="s">
        <v>3464</v>
      </c>
      <c r="I161" s="10" t="s">
        <v>20</v>
      </c>
    </row>
    <row r="162" customFormat="false" ht="15" hidden="false" customHeight="false" outlineLevel="0" collapsed="false">
      <c r="A162" s="17" t="s">
        <v>3572</v>
      </c>
      <c r="D162" s="123" t="s">
        <v>3573</v>
      </c>
      <c r="I162" s="16" t="str">
        <f aca="false">IF(AND(LEN(TRIM(A162&amp;""))&gt;0,TRIM(A162&amp;"")&lt;&gt;"—"),"PASS","⚠ FAIL — "&amp;"a required cell is empty/placeholder or wrong type")</f>
        <v>PASS</v>
      </c>
    </row>
    <row r="163" customFormat="false" ht="15" hidden="false" customHeight="false" outlineLevel="0" collapsed="false">
      <c r="A163" s="123" t="s">
        <v>3574</v>
      </c>
      <c r="B163" s="125" t="n">
        <v>15</v>
      </c>
      <c r="I163" s="16" t="str">
        <f aca="false">IF(AND(LEN(TRIM(A163&amp;""))&gt;0,TRIM(A163&amp;"")&lt;&gt;"—"),"PASS","⚠ FAIL — "&amp;"a required cell is empty/placeholder or wrong type")</f>
        <v>PASS</v>
      </c>
    </row>
    <row r="164" customFormat="false" ht="15" hidden="false" customHeight="false" outlineLevel="0" collapsed="false">
      <c r="A164" s="123" t="s">
        <v>3575</v>
      </c>
      <c r="B164" s="125" t="n">
        <v>0.1</v>
      </c>
      <c r="I164" s="16" t="str">
        <f aca="false">IF(AND(LEN(TRIM(A164&amp;""))&gt;0,TRIM(A164&amp;"")&lt;&gt;"—"),"PASS","⚠ FAIL — "&amp;"a required cell is empty/placeholder or wrong type")</f>
        <v>PASS</v>
      </c>
    </row>
    <row r="165" customFormat="false" ht="15" hidden="false" customHeight="false" outlineLevel="0" collapsed="false">
      <c r="A165" s="17" t="s">
        <v>3471</v>
      </c>
      <c r="B165" s="126" t="n">
        <v>14.9</v>
      </c>
      <c r="C165" s="0" t="s">
        <v>3576</v>
      </c>
      <c r="D165" s="123" t="s">
        <v>3573</v>
      </c>
      <c r="E165" s="127" t="n">
        <v>14.9</v>
      </c>
      <c r="F165" s="127" t="n">
        <f aca="false">B165-E165</f>
        <v>0</v>
      </c>
      <c r="G165" s="0" t="s">
        <v>3576</v>
      </c>
      <c r="I165" s="16" t="str">
        <f aca="false">IF(AND(LEN(TRIM(A165&amp;""))&gt;0,TRIM(A165&amp;"")&lt;&gt;"—"),"PASS","⚠ FAIL — "&amp;"a required cell is empty/placeholder or wrong type")</f>
        <v>PASS</v>
      </c>
    </row>
    <row r="167" customFormat="false" ht="15" hidden="false" customHeight="false" outlineLevel="0" collapsed="false">
      <c r="A167" s="17" t="s">
        <v>3577</v>
      </c>
      <c r="D167" s="123" t="s">
        <v>3578</v>
      </c>
    </row>
    <row r="168" customFormat="false" ht="15" hidden="false" customHeight="false" outlineLevel="0" collapsed="false">
      <c r="A168" s="123" t="s">
        <v>3561</v>
      </c>
      <c r="B168" s="125" t="n">
        <v>10.7</v>
      </c>
    </row>
    <row r="169" customFormat="false" ht="15" hidden="false" customHeight="false" outlineLevel="0" collapsed="false">
      <c r="A169" s="123" t="s">
        <v>3579</v>
      </c>
      <c r="B169" s="125" t="n">
        <v>14.9</v>
      </c>
    </row>
    <row r="170" customFormat="false" ht="15" hidden="false" customHeight="false" outlineLevel="0" collapsed="false">
      <c r="A170" s="123" t="s">
        <v>3580</v>
      </c>
      <c r="B170" s="125" t="n">
        <v>0.35665</v>
      </c>
    </row>
    <row r="171" customFormat="false" ht="15" hidden="false" customHeight="false" outlineLevel="0" collapsed="false">
      <c r="A171" s="123" t="s">
        <v>3581</v>
      </c>
      <c r="B171" s="125" t="n">
        <v>6.5</v>
      </c>
    </row>
    <row r="172" customFormat="false" ht="15" hidden="false" customHeight="false" outlineLevel="0" collapsed="false">
      <c r="A172" s="17" t="s">
        <v>3471</v>
      </c>
      <c r="B172" s="126" t="n">
        <v>369.59461175</v>
      </c>
      <c r="C172" s="0" t="s">
        <v>3582</v>
      </c>
      <c r="D172" s="123" t="s">
        <v>3578</v>
      </c>
      <c r="E172" s="127" t="n">
        <v>369.59461175</v>
      </c>
      <c r="F172" s="127" t="n">
        <f aca="false">B172-E172</f>
        <v>0</v>
      </c>
      <c r="G172" s="0" t="s">
        <v>3582</v>
      </c>
    </row>
    <row r="174" customFormat="false" ht="15" hidden="false" customHeight="false" outlineLevel="0" collapsed="false">
      <c r="A174" s="128" t="s">
        <v>3583</v>
      </c>
      <c r="D174" s="123" t="s">
        <v>3584</v>
      </c>
    </row>
    <row r="175" customFormat="false" ht="15" hidden="false" customHeight="false" outlineLevel="0" collapsed="false">
      <c r="A175" s="10" t="s">
        <v>3585</v>
      </c>
      <c r="D175" s="129" t="s">
        <v>3584</v>
      </c>
    </row>
    <row r="176" customFormat="false" ht="15" hidden="false" customHeight="false" outlineLevel="0" collapsed="false">
      <c r="A176" s="10" t="s">
        <v>3586</v>
      </c>
      <c r="D176" s="129" t="s">
        <v>3587</v>
      </c>
    </row>
    <row r="177" customFormat="false" ht="15" hidden="false" customHeight="false" outlineLevel="0" collapsed="false">
      <c r="A177" s="10" t="s">
        <v>3588</v>
      </c>
      <c r="B177" s="126" t="n">
        <v>0.307991666666667</v>
      </c>
      <c r="E177" s="127" t="n">
        <v>0.307995509791667</v>
      </c>
      <c r="F177" s="127" t="n">
        <f aca="false">B177-E177</f>
        <v>-3.8431249999582E-006</v>
      </c>
      <c r="G177" s="0" t="s">
        <v>27</v>
      </c>
      <c r="H177" s="130" t="str">
        <f aca="false">IF(OR($E177=0,ABS($F177)&lt;=0.02*ABS($E177)),"✓ maths checks out (live: |Δ| ≤ 2% of the engine value)","⚠ engine result ≠ its own substitution (Δ = "&amp;$F177&amp;")")</f>
        <v>✓ maths checks out (live: |Δ| ≤ 2% of the engine value)</v>
      </c>
    </row>
    <row r="179" customFormat="false" ht="15" hidden="false" customHeight="false" outlineLevel="0" collapsed="false">
      <c r="A179" s="128" t="s">
        <v>3589</v>
      </c>
      <c r="D179" s="123" t="s">
        <v>3590</v>
      </c>
    </row>
    <row r="180" customFormat="false" ht="15" hidden="false" customHeight="false" outlineLevel="0" collapsed="false">
      <c r="A180" s="10" t="s">
        <v>3585</v>
      </c>
      <c r="D180" s="129" t="s">
        <v>3590</v>
      </c>
    </row>
    <row r="181" customFormat="false" ht="15" hidden="false" customHeight="false" outlineLevel="0" collapsed="false">
      <c r="A181" s="10" t="s">
        <v>3586</v>
      </c>
      <c r="D181" s="129" t="s">
        <v>3591</v>
      </c>
    </row>
    <row r="182" customFormat="false" ht="15" hidden="false" customHeight="false" outlineLevel="0" collapsed="false">
      <c r="A182" s="10" t="s">
        <v>3588</v>
      </c>
      <c r="B182" s="126" t="n">
        <v>0.462</v>
      </c>
      <c r="E182" s="127" t="n">
        <v>0.4619932646875</v>
      </c>
      <c r="F182" s="127" t="n">
        <f aca="false">B182-E182</f>
        <v>6.73531250000581E-006</v>
      </c>
      <c r="G182" s="0" t="s">
        <v>27</v>
      </c>
      <c r="H182" s="130" t="str">
        <f aca="false">IF(OR($E182=0,ABS($F182)&lt;=0.02*ABS($E182)),"✓ maths checks out (live: |Δ| ≤ 2% of the engine value)","⚠ engine result ≠ its own substitution (Δ = "&amp;$F182&amp;")")</f>
        <v>✓ maths checks out (live: |Δ| ≤ 2% of the engine value)</v>
      </c>
    </row>
    <row r="184" customFormat="false" ht="15" hidden="false" customHeight="false" outlineLevel="0" collapsed="false">
      <c r="A184" s="128" t="s">
        <v>3592</v>
      </c>
      <c r="D184" s="123" t="s">
        <v>3593</v>
      </c>
    </row>
    <row r="185" customFormat="false" ht="15" hidden="false" customHeight="false" outlineLevel="0" collapsed="false">
      <c r="A185" s="10" t="s">
        <v>3585</v>
      </c>
      <c r="D185" s="129" t="s">
        <v>3593</v>
      </c>
    </row>
    <row r="186" customFormat="false" ht="15" hidden="false" customHeight="false" outlineLevel="0" collapsed="false">
      <c r="A186" s="10" t="s">
        <v>3586</v>
      </c>
      <c r="D186" s="129" t="s">
        <v>3594</v>
      </c>
    </row>
    <row r="187" customFormat="false" ht="26.85" hidden="false" customHeight="false" outlineLevel="0" collapsed="false">
      <c r="A187" s="10" t="s">
        <v>3588</v>
      </c>
      <c r="B187" s="126" t="n">
        <v>46.2</v>
      </c>
      <c r="E187" s="127" t="n">
        <v>46.19932646875</v>
      </c>
      <c r="F187" s="127" t="n">
        <f aca="false">B187-E187</f>
        <v>0.000673531250001247</v>
      </c>
      <c r="G187" s="0" t="s">
        <v>2999</v>
      </c>
      <c r="H187" s="130" t="str">
        <f aca="false">IF(OR($E187=0,ABS($F187)&lt;=0.02*ABS($E187)),"✓ maths checks out (live: |Δ| ≤ 2% of the engine value)· confirmed = design softener_salt_consumption_max_kg_per_regen","⚠ engine result ≠ its own substitution (Δ = "&amp;$F187&amp;")")</f>
        <v>✓ maths checks out (live: |Δ| ≤ 2% of the engine value)· confirmed = design softener_salt_consumption_max_kg_per_regen</v>
      </c>
    </row>
    <row r="190" customFormat="false" ht="15" hidden="false" customHeight="false" outlineLevel="0" collapsed="false">
      <c r="A190" s="8" t="s">
        <v>3595</v>
      </c>
      <c r="B190" s="8"/>
      <c r="C190" s="8"/>
      <c r="D190" s="8"/>
      <c r="E190" s="8"/>
      <c r="F190" s="8"/>
      <c r="G190" s="8"/>
      <c r="H190" s="8"/>
    </row>
    <row r="191" customFormat="false" ht="15" hidden="false" customHeight="false" outlineLevel="0" collapsed="false">
      <c r="A191" s="9" t="s">
        <v>3459</v>
      </c>
      <c r="B191" s="9" t="s">
        <v>3460</v>
      </c>
      <c r="C191" s="9" t="s">
        <v>15</v>
      </c>
      <c r="D191" s="9" t="s">
        <v>3461</v>
      </c>
      <c r="E191" s="9" t="s">
        <v>3462</v>
      </c>
      <c r="F191" s="9" t="s">
        <v>3463</v>
      </c>
      <c r="G191" s="9" t="s">
        <v>15</v>
      </c>
      <c r="H191" s="9" t="s">
        <v>3464</v>
      </c>
      <c r="I191" s="10" t="s">
        <v>20</v>
      </c>
    </row>
    <row r="192" customFormat="false" ht="15" hidden="false" customHeight="false" outlineLevel="0" collapsed="false">
      <c r="A192" s="17" t="s">
        <v>3596</v>
      </c>
      <c r="D192" s="123" t="s">
        <v>3597</v>
      </c>
      <c r="I192" s="16" t="str">
        <f aca="false">IF(AND(LEN(TRIM(A192&amp;""))&gt;0,TRIM(A192&amp;"")&lt;&gt;"—"),"PASS","⚠ FAIL — "&amp;"a required cell is empty/placeholder or wrong type")</f>
        <v>PASS</v>
      </c>
    </row>
    <row r="193" customFormat="false" ht="15" hidden="false" customHeight="false" outlineLevel="0" collapsed="false">
      <c r="A193" s="123" t="s">
        <v>3598</v>
      </c>
      <c r="B193" s="125" t="n">
        <v>6000</v>
      </c>
      <c r="I193" s="16" t="str">
        <f aca="false">IF(AND(LEN(TRIM(A193&amp;""))&gt;0,TRIM(A193&amp;"")&lt;&gt;"—"),"PASS","⚠ FAIL — "&amp;"a required cell is empty/placeholder or wrong type")</f>
        <v>PASS</v>
      </c>
    </row>
    <row r="194" customFormat="false" ht="15" hidden="false" customHeight="false" outlineLevel="0" collapsed="false">
      <c r="A194" s="123" t="s">
        <v>3599</v>
      </c>
      <c r="B194" s="125" t="n">
        <v>2</v>
      </c>
      <c r="I194" s="16" t="str">
        <f aca="false">IF(AND(LEN(TRIM(A194&amp;""))&gt;0,TRIM(A194&amp;"")&lt;&gt;"—"),"PASS","⚠ FAIL — "&amp;"a required cell is empty/placeholder or wrong type")</f>
        <v>PASS</v>
      </c>
    </row>
    <row r="195" customFormat="false" ht="15" hidden="false" customHeight="false" outlineLevel="0" collapsed="false">
      <c r="A195" s="123" t="s">
        <v>3600</v>
      </c>
      <c r="B195" s="125" t="n">
        <v>0.05</v>
      </c>
      <c r="I195" s="16" t="str">
        <f aca="false">IF(AND(LEN(TRIM(A195&amp;""))&gt;0,TRIM(A195&amp;"")&lt;&gt;"—"),"PASS","⚠ FAIL — "&amp;"a required cell is empty/placeholder or wrong type")</f>
        <v>PASS</v>
      </c>
    </row>
    <row r="196" customFormat="false" ht="15" hidden="false" customHeight="false" outlineLevel="0" collapsed="false">
      <c r="A196" s="17" t="s">
        <v>3471</v>
      </c>
      <c r="B196" s="126" t="n">
        <v>600</v>
      </c>
      <c r="C196" s="0" t="s">
        <v>27</v>
      </c>
      <c r="D196" s="123" t="s">
        <v>3597</v>
      </c>
      <c r="E196" s="127" t="n">
        <v>600</v>
      </c>
      <c r="F196" s="127" t="n">
        <f aca="false">B196-E196</f>
        <v>0</v>
      </c>
      <c r="G196" s="0" t="s">
        <v>27</v>
      </c>
      <c r="I196" s="16" t="str">
        <f aca="false">IF(AND(LEN(TRIM(A196&amp;""))&gt;0,TRIM(A196&amp;"")&lt;&gt;"—"),"PASS","⚠ FAIL — "&amp;"a required cell is empty/placeholder or wrong type")</f>
        <v>PASS</v>
      </c>
    </row>
    <row r="198" customFormat="false" ht="15" hidden="false" customHeight="false" outlineLevel="0" collapsed="false">
      <c r="A198" s="128" t="s">
        <v>3601</v>
      </c>
      <c r="D198" s="123" t="s">
        <v>3602</v>
      </c>
    </row>
    <row r="199" customFormat="false" ht="15" hidden="false" customHeight="false" outlineLevel="0" collapsed="false">
      <c r="A199" s="10" t="s">
        <v>3585</v>
      </c>
      <c r="D199" s="129" t="s">
        <v>3602</v>
      </c>
    </row>
    <row r="200" customFormat="false" ht="15" hidden="false" customHeight="false" outlineLevel="0" collapsed="false">
      <c r="A200" s="10" t="s">
        <v>3586</v>
      </c>
      <c r="D200" s="129" t="s">
        <v>3603</v>
      </c>
    </row>
    <row r="201" customFormat="false" ht="15" hidden="false" customHeight="false" outlineLevel="0" collapsed="false">
      <c r="A201" s="10" t="s">
        <v>3588</v>
      </c>
      <c r="B201" s="126" t="n">
        <v>1200</v>
      </c>
      <c r="E201" s="127" t="n">
        <v>1200</v>
      </c>
      <c r="F201" s="127" t="n">
        <f aca="false">B201-E201</f>
        <v>0</v>
      </c>
      <c r="G201" s="0" t="s">
        <v>33</v>
      </c>
      <c r="H201" s="130" t="str">
        <f aca="false">IF(OR($E201=0,ABS($F201)&lt;=0.02*ABS($E201)),"✓ maths checks out (live: |Δ| ≤ 2% of the engine value)","⚠ engine result ≠ its own substitution (Δ = "&amp;$F201&amp;")")</f>
        <v>✓ maths checks out (live: |Δ| ≤ 2% of the engine value)</v>
      </c>
    </row>
    <row r="203" customFormat="false" ht="15" hidden="false" customHeight="false" outlineLevel="0" collapsed="false">
      <c r="A203" s="128" t="s">
        <v>3604</v>
      </c>
      <c r="D203" s="123" t="s">
        <v>3605</v>
      </c>
    </row>
    <row r="204" customFormat="false" ht="15" hidden="false" customHeight="false" outlineLevel="0" collapsed="false">
      <c r="A204" s="10" t="s">
        <v>3585</v>
      </c>
      <c r="D204" s="129" t="s">
        <v>3605</v>
      </c>
    </row>
    <row r="205" customFormat="false" ht="15" hidden="false" customHeight="false" outlineLevel="0" collapsed="false">
      <c r="A205" s="10" t="s">
        <v>3586</v>
      </c>
      <c r="D205" s="129" t="s">
        <v>3606</v>
      </c>
    </row>
    <row r="206" customFormat="false" ht="15" hidden="false" customHeight="false" outlineLevel="0" collapsed="false">
      <c r="A206" s="10" t="s">
        <v>3588</v>
      </c>
      <c r="B206" s="126" t="n">
        <v>600</v>
      </c>
      <c r="E206" s="127" t="n">
        <v>600</v>
      </c>
      <c r="F206" s="127" t="n">
        <f aca="false">B206-E206</f>
        <v>0</v>
      </c>
      <c r="G206" s="0" t="s">
        <v>27</v>
      </c>
      <c r="H206" s="130" t="str">
        <f aca="false">IF(OR($E206=0,ABS($F206)&lt;=0.02*ABS($E206)),"✓ maths checks out (live: |Δ| ≤ 2% of the engine value)","⚠ engine result ≠ its own substitution (Δ = "&amp;$F206&amp;")")</f>
        <v>✓ maths checks out (live: |Δ| ≤ 2% of the engine value)</v>
      </c>
    </row>
    <row r="209" customFormat="false" ht="15" hidden="false" customHeight="false" outlineLevel="0" collapsed="false">
      <c r="A209" s="8" t="s">
        <v>3607</v>
      </c>
      <c r="B209" s="8"/>
      <c r="C209" s="8"/>
      <c r="D209" s="8"/>
      <c r="E209" s="8"/>
      <c r="F209" s="8"/>
      <c r="G209" s="8"/>
      <c r="H209" s="8"/>
    </row>
    <row r="210" customFormat="false" ht="15" hidden="false" customHeight="false" outlineLevel="0" collapsed="false">
      <c r="A210" s="9" t="s">
        <v>3459</v>
      </c>
      <c r="B210" s="9" t="s">
        <v>3460</v>
      </c>
      <c r="C210" s="9" t="s">
        <v>15</v>
      </c>
      <c r="D210" s="9" t="s">
        <v>3461</v>
      </c>
      <c r="E210" s="9" t="s">
        <v>3462</v>
      </c>
      <c r="F210" s="9" t="s">
        <v>3463</v>
      </c>
      <c r="G210" s="9" t="s">
        <v>15</v>
      </c>
      <c r="H210" s="9" t="s">
        <v>3464</v>
      </c>
      <c r="I210" s="10" t="s">
        <v>20</v>
      </c>
    </row>
    <row r="211" customFormat="false" ht="15" hidden="false" customHeight="false" outlineLevel="0" collapsed="false">
      <c r="A211" s="17" t="s">
        <v>3608</v>
      </c>
      <c r="D211" s="123" t="s">
        <v>3609</v>
      </c>
    </row>
    <row r="212" customFormat="false" ht="15" hidden="false" customHeight="false" outlineLevel="0" collapsed="false">
      <c r="A212" s="123" t="s">
        <v>3610</v>
      </c>
      <c r="B212" s="125" t="n">
        <v>90</v>
      </c>
      <c r="C212" s="0" t="s">
        <v>33</v>
      </c>
      <c r="I212" s="16" t="str">
        <f aca="false">IF(AND(LEN(TRIM(A212&amp;""))&gt;0,TRIM(A212&amp;"")&lt;&gt;"—"),"PASS","⚠ FAIL — "&amp;"a required cell is empty/placeholder or wrong type")</f>
        <v>PASS</v>
      </c>
    </row>
    <row r="213" customFormat="false" ht="22.35" hidden="false" customHeight="false" outlineLevel="0" collapsed="false">
      <c r="A213" s="17" t="s">
        <v>3471</v>
      </c>
      <c r="B213" s="126" t="n">
        <v>1500</v>
      </c>
      <c r="C213" s="0" t="s">
        <v>3611</v>
      </c>
      <c r="D213" s="123" t="s">
        <v>3612</v>
      </c>
      <c r="E213" s="127" t="n">
        <v>1500</v>
      </c>
      <c r="F213" s="127" t="n">
        <f aca="false">B213-E213</f>
        <v>0</v>
      </c>
      <c r="G213" s="0" t="s">
        <v>3611</v>
      </c>
      <c r="H213" s="27" t="s">
        <v>3613</v>
      </c>
      <c r="I213" s="16" t="str">
        <f aca="false">IF(AND(LEN(TRIM(A213&amp;""))&gt;0,TRIM(A213&amp;"")&lt;&gt;"—"),"PASS","⚠ FAIL — "&amp;"a required cell is empty/placeholder or wrong type")</f>
        <v>PASS</v>
      </c>
    </row>
    <row r="215" customFormat="false" ht="15" hidden="false" customHeight="false" outlineLevel="0" collapsed="false">
      <c r="A215" s="17" t="s">
        <v>3614</v>
      </c>
      <c r="D215" s="123" t="s">
        <v>3615</v>
      </c>
    </row>
    <row r="216" customFormat="false" ht="15" hidden="false" customHeight="false" outlineLevel="0" collapsed="false">
      <c r="A216" s="123" t="s">
        <v>3616</v>
      </c>
      <c r="B216" s="125" t="n">
        <v>5</v>
      </c>
      <c r="C216" s="0" t="s">
        <v>2994</v>
      </c>
    </row>
    <row r="217" customFormat="false" ht="15" hidden="false" customHeight="false" outlineLevel="0" collapsed="false">
      <c r="A217" s="123" t="s">
        <v>3617</v>
      </c>
      <c r="B217" s="125" t="n">
        <v>2.21</v>
      </c>
      <c r="C217" s="0" t="s">
        <v>2994</v>
      </c>
    </row>
    <row r="218" customFormat="false" ht="15" hidden="false" customHeight="false" outlineLevel="0" collapsed="false">
      <c r="A218" s="123" t="s">
        <v>3618</v>
      </c>
      <c r="B218" s="125" t="n">
        <v>15.3</v>
      </c>
      <c r="C218" s="0" t="s">
        <v>2994</v>
      </c>
    </row>
    <row r="219" customFormat="false" ht="15" hidden="false" customHeight="false" outlineLevel="0" collapsed="false">
      <c r="A219" s="17" t="s">
        <v>3471</v>
      </c>
      <c r="B219" s="126" t="n">
        <v>22.51</v>
      </c>
      <c r="C219" s="0" t="s">
        <v>2994</v>
      </c>
      <c r="D219" s="123" t="s">
        <v>3619</v>
      </c>
      <c r="E219" s="127" t="n">
        <v>22.51</v>
      </c>
      <c r="F219" s="127" t="n">
        <f aca="false">B219-E219</f>
        <v>0</v>
      </c>
      <c r="G219" s="0" t="s">
        <v>2994</v>
      </c>
      <c r="H219" s="27" t="s">
        <v>3620</v>
      </c>
    </row>
    <row r="221" customFormat="false" ht="15" hidden="false" customHeight="false" outlineLevel="0" collapsed="false">
      <c r="A221" s="17" t="s">
        <v>3621</v>
      </c>
      <c r="D221" s="123" t="s">
        <v>3622</v>
      </c>
    </row>
    <row r="222" customFormat="false" ht="15" hidden="false" customHeight="false" outlineLevel="0" collapsed="false">
      <c r="A222" s="123" t="s">
        <v>3623</v>
      </c>
      <c r="B222" s="125" t="n">
        <v>90</v>
      </c>
      <c r="C222" s="0" t="s">
        <v>33</v>
      </c>
    </row>
    <row r="223" customFormat="false" ht="15" hidden="false" customHeight="false" outlineLevel="0" collapsed="false">
      <c r="A223" s="123" t="s">
        <v>3624</v>
      </c>
      <c r="B223" s="126" t="n">
        <f aca="false">$B$219</f>
        <v>22.51</v>
      </c>
      <c r="C223" s="0" t="s">
        <v>2994</v>
      </c>
      <c r="H223" s="10" t="s">
        <v>3625</v>
      </c>
    </row>
    <row r="224" customFormat="false" ht="15" hidden="false" customHeight="false" outlineLevel="0" collapsed="false">
      <c r="A224" s="17" t="s">
        <v>3471</v>
      </c>
      <c r="B224" s="126" t="n">
        <v>5520.5775</v>
      </c>
      <c r="C224" s="0" t="s">
        <v>3626</v>
      </c>
      <c r="D224" s="123" t="s">
        <v>3627</v>
      </c>
      <c r="E224" s="127" t="n">
        <v>5521.7</v>
      </c>
      <c r="F224" s="127" t="n">
        <f aca="false">B224-E224</f>
        <v>-1.12249999999949</v>
      </c>
      <c r="G224" s="0" t="s">
        <v>3626</v>
      </c>
      <c r="H224" s="27" t="s">
        <v>3628</v>
      </c>
    </row>
    <row r="226" customFormat="false" ht="15" hidden="false" customHeight="false" outlineLevel="0" collapsed="false">
      <c r="A226" s="17" t="s">
        <v>3629</v>
      </c>
      <c r="D226" s="123" t="s">
        <v>3630</v>
      </c>
    </row>
    <row r="227" customFormat="false" ht="15" hidden="false" customHeight="false" outlineLevel="0" collapsed="false">
      <c r="A227" s="123" t="s">
        <v>3631</v>
      </c>
      <c r="B227" s="126" t="n">
        <f aca="false">$B$224</f>
        <v>5520.5775</v>
      </c>
      <c r="C227" s="0" t="s">
        <v>3626</v>
      </c>
      <c r="H227" s="10" t="s">
        <v>3632</v>
      </c>
    </row>
    <row r="228" customFormat="false" ht="15" hidden="false" customHeight="false" outlineLevel="0" collapsed="false">
      <c r="A228" s="123" t="s">
        <v>3633</v>
      </c>
      <c r="B228" s="125" t="n">
        <v>0.65</v>
      </c>
    </row>
    <row r="229" customFormat="false" ht="15" hidden="false" customHeight="false" outlineLevel="0" collapsed="false">
      <c r="A229" s="17" t="s">
        <v>3471</v>
      </c>
      <c r="B229" s="126" t="n">
        <v>8494.92307692308</v>
      </c>
      <c r="C229" s="0" t="s">
        <v>3626</v>
      </c>
      <c r="D229" s="123" t="s">
        <v>3634</v>
      </c>
      <c r="E229" s="127" t="n">
        <v>8495</v>
      </c>
      <c r="F229" s="127" t="n">
        <f aca="false">B229-E229</f>
        <v>-0.0769230769237765</v>
      </c>
      <c r="G229" s="0" t="s">
        <v>3626</v>
      </c>
      <c r="H229" s="27" t="s">
        <v>3635</v>
      </c>
    </row>
    <row r="231" customFormat="false" ht="15" hidden="false" customHeight="false" outlineLevel="0" collapsed="false">
      <c r="A231" s="17" t="s">
        <v>3636</v>
      </c>
      <c r="D231" s="123" t="s">
        <v>3637</v>
      </c>
    </row>
    <row r="232" customFormat="false" ht="15" hidden="false" customHeight="false" outlineLevel="0" collapsed="false">
      <c r="A232" s="123" t="s">
        <v>3638</v>
      </c>
      <c r="B232" s="126" t="n">
        <f aca="false">$B$229</f>
        <v>8494.92307692308</v>
      </c>
      <c r="C232" s="0" t="s">
        <v>3626</v>
      </c>
      <c r="H232" s="10" t="s">
        <v>3639</v>
      </c>
    </row>
    <row r="233" customFormat="false" ht="15" hidden="false" customHeight="false" outlineLevel="0" collapsed="false">
      <c r="A233" s="123" t="s">
        <v>3640</v>
      </c>
      <c r="B233" s="125" t="n">
        <v>0.88</v>
      </c>
    </row>
    <row r="234" customFormat="false" ht="15" hidden="false" customHeight="false" outlineLevel="0" collapsed="false">
      <c r="A234" s="17" t="s">
        <v>3471</v>
      </c>
      <c r="B234" s="126" t="n">
        <v>9653.40909090909</v>
      </c>
      <c r="C234" s="0" t="s">
        <v>3626</v>
      </c>
      <c r="D234" s="123" t="s">
        <v>3641</v>
      </c>
      <c r="E234" s="127" t="n">
        <v>9653.4</v>
      </c>
      <c r="F234" s="127" t="n">
        <f aca="false">B234-E234</f>
        <v>0.00909090909044608</v>
      </c>
      <c r="G234" s="0" t="s">
        <v>3626</v>
      </c>
    </row>
    <row r="236" customFormat="false" ht="15" hidden="false" customHeight="false" outlineLevel="0" collapsed="false">
      <c r="A236" s="17" t="s">
        <v>3642</v>
      </c>
      <c r="D236" s="123" t="s">
        <v>3643</v>
      </c>
    </row>
    <row r="237" customFormat="false" ht="15" hidden="false" customHeight="false" outlineLevel="0" collapsed="false">
      <c r="A237" s="123" t="s">
        <v>3623</v>
      </c>
      <c r="B237" s="125" t="n">
        <v>90</v>
      </c>
      <c r="C237" s="0" t="s">
        <v>33</v>
      </c>
    </row>
    <row r="238" customFormat="false" ht="15" hidden="false" customHeight="false" outlineLevel="0" collapsed="false">
      <c r="A238" s="123" t="s">
        <v>3644</v>
      </c>
      <c r="B238" s="125" t="n">
        <v>17671.5</v>
      </c>
      <c r="C238" s="0" t="s">
        <v>2925</v>
      </c>
    </row>
    <row r="239" customFormat="false" ht="15" hidden="false" customHeight="false" outlineLevel="0" collapsed="false">
      <c r="A239" s="17" t="s">
        <v>3471</v>
      </c>
      <c r="B239" s="126" t="n">
        <v>1.41470729706024</v>
      </c>
      <c r="C239" s="0" t="s">
        <v>1535</v>
      </c>
      <c r="D239" s="123" t="s">
        <v>3645</v>
      </c>
      <c r="E239" s="127" t="n">
        <v>1.415</v>
      </c>
      <c r="F239" s="127" t="n">
        <f aca="false">B239-E239</f>
        <v>-0.000292702939762135</v>
      </c>
      <c r="G239" s="0" t="s">
        <v>1535</v>
      </c>
      <c r="H239" s="27" t="s">
        <v>3646</v>
      </c>
    </row>
    <row r="242" customFormat="false" ht="15" hidden="false" customHeight="false" outlineLevel="0" collapsed="false">
      <c r="A242" s="8" t="s">
        <v>3647</v>
      </c>
      <c r="B242" s="8"/>
      <c r="C242" s="8"/>
      <c r="D242" s="8"/>
      <c r="E242" s="8"/>
      <c r="F242" s="8"/>
      <c r="G242" s="8"/>
      <c r="H242" s="8"/>
    </row>
    <row r="243" customFormat="false" ht="15" hidden="false" customHeight="false" outlineLevel="0" collapsed="false">
      <c r="A243" s="9" t="s">
        <v>3459</v>
      </c>
      <c r="B243" s="9" t="s">
        <v>3460</v>
      </c>
      <c r="C243" s="9" t="s">
        <v>15</v>
      </c>
      <c r="D243" s="9" t="s">
        <v>3461</v>
      </c>
      <c r="E243" s="9" t="s">
        <v>3462</v>
      </c>
      <c r="F243" s="9" t="s">
        <v>3463</v>
      </c>
      <c r="G243" s="9" t="s">
        <v>15</v>
      </c>
      <c r="H243" s="9" t="s">
        <v>3464</v>
      </c>
      <c r="I243" s="10" t="s">
        <v>20</v>
      </c>
    </row>
    <row r="244" customFormat="false" ht="15" hidden="false" customHeight="false" outlineLevel="0" collapsed="false">
      <c r="A244" s="17" t="s">
        <v>3648</v>
      </c>
      <c r="D244" s="123" t="s">
        <v>3649</v>
      </c>
    </row>
    <row r="245" customFormat="false" ht="15" hidden="false" customHeight="false" outlineLevel="0" collapsed="false">
      <c r="A245" s="123" t="s">
        <v>3650</v>
      </c>
      <c r="B245" s="125" t="n">
        <v>0</v>
      </c>
      <c r="C245" s="0" t="s">
        <v>2999</v>
      </c>
      <c r="I245" s="16" t="str">
        <f aca="false">IF(AND(LEN(TRIM(A245&amp;""))&gt;0,TRIM(A245&amp;"")&lt;&gt;"—"),"PASS","⚠ FAIL — "&amp;"a required cell is empty/placeholder or wrong type")</f>
        <v>PASS</v>
      </c>
    </row>
    <row r="246" customFormat="false" ht="15" hidden="false" customHeight="false" outlineLevel="0" collapsed="false">
      <c r="A246" s="123" t="s">
        <v>3651</v>
      </c>
      <c r="B246" s="125" t="n">
        <v>500</v>
      </c>
      <c r="C246" s="0" t="s">
        <v>2999</v>
      </c>
      <c r="I246" s="16" t="str">
        <f aca="false">IF(AND(LEN(TRIM(A246&amp;""))&gt;0,TRIM(A246&amp;"")&lt;&gt;"—"),"PASS","⚠ FAIL — "&amp;"a required cell is empty/placeholder or wrong type")</f>
        <v>PASS</v>
      </c>
    </row>
    <row r="247" customFormat="false" ht="15" hidden="false" customHeight="false" outlineLevel="0" collapsed="false">
      <c r="A247" s="123" t="s">
        <v>3652</v>
      </c>
      <c r="B247" s="125" t="n">
        <v>0</v>
      </c>
      <c r="C247" s="0" t="s">
        <v>2999</v>
      </c>
      <c r="I247" s="16" t="str">
        <f aca="false">IF(AND(LEN(TRIM(A247&amp;""))&gt;0,TRIM(A247&amp;"")&lt;&gt;"—"),"PASS","⚠ FAIL — "&amp;"a required cell is empty/placeholder or wrong type")</f>
        <v>PASS</v>
      </c>
    </row>
    <row r="248" customFormat="false" ht="15" hidden="false" customHeight="false" outlineLevel="0" collapsed="false">
      <c r="A248" s="123" t="s">
        <v>3653</v>
      </c>
      <c r="B248" s="125" t="n">
        <v>0</v>
      </c>
      <c r="C248" s="0" t="s">
        <v>2999</v>
      </c>
      <c r="I248" s="16" t="str">
        <f aca="false">IF(AND(LEN(TRIM(A248&amp;""))&gt;0,TRIM(A248&amp;"")&lt;&gt;"—"),"PASS","⚠ FAIL — "&amp;"a required cell is empty/placeholder or wrong type")</f>
        <v>PASS</v>
      </c>
    </row>
    <row r="249" customFormat="false" ht="15" hidden="false" customHeight="false" outlineLevel="0" collapsed="false">
      <c r="A249" s="123" t="s">
        <v>3654</v>
      </c>
      <c r="B249" s="125" t="n">
        <v>0</v>
      </c>
      <c r="C249" s="0" t="s">
        <v>2999</v>
      </c>
      <c r="I249" s="16" t="str">
        <f aca="false">IF(AND(LEN(TRIM(A249&amp;""))&gt;0,TRIM(A249&amp;"")&lt;&gt;"—"),"PASS","⚠ FAIL — "&amp;"a required cell is empty/placeholder or wrong type")</f>
        <v>PASS</v>
      </c>
    </row>
    <row r="250" customFormat="false" ht="15" hidden="false" customHeight="false" outlineLevel="0" collapsed="false">
      <c r="A250" s="123" t="s">
        <v>3655</v>
      </c>
      <c r="B250" s="125" t="n">
        <v>1000.811</v>
      </c>
      <c r="C250" s="0" t="s">
        <v>2999</v>
      </c>
      <c r="I250" s="16" t="str">
        <f aca="false">IF(AND(LEN(TRIM(A250&amp;""))&gt;0,TRIM(A250&amp;"")&lt;&gt;"—"),"PASS","⚠ FAIL — "&amp;"a required cell is empty/placeholder or wrong type")</f>
        <v>PASS</v>
      </c>
    </row>
    <row r="251" customFormat="false" ht="15" hidden="false" customHeight="false" outlineLevel="0" collapsed="false">
      <c r="A251" s="17" t="s">
        <v>3471</v>
      </c>
      <c r="B251" s="126" t="n">
        <v>1500.811</v>
      </c>
      <c r="C251" s="0" t="s">
        <v>2999</v>
      </c>
      <c r="D251" s="123" t="s">
        <v>3656</v>
      </c>
      <c r="E251" s="127" t="n">
        <v>1500.8</v>
      </c>
      <c r="F251" s="127" t="n">
        <f aca="false">B251-E251</f>
        <v>0.0109999999999673</v>
      </c>
      <c r="G251" s="0" t="s">
        <v>2999</v>
      </c>
      <c r="H251" s="27" t="s">
        <v>3657</v>
      </c>
      <c r="I251" s="16" t="str">
        <f aca="false">IF(AND(LEN(TRIM(A251&amp;""))&gt;0,TRIM(A251&amp;"")&lt;&gt;"—"),"PASS","⚠ FAIL — "&amp;"a required cell is empty/placeholder or wrong type")</f>
        <v>PASS</v>
      </c>
    </row>
    <row r="253" customFormat="false" ht="15" hidden="false" customHeight="false" outlineLevel="0" collapsed="false">
      <c r="A253" s="17" t="s">
        <v>3658</v>
      </c>
      <c r="D253" s="123" t="s">
        <v>3659</v>
      </c>
    </row>
    <row r="254" customFormat="false" ht="15" hidden="false" customHeight="false" outlineLevel="0" collapsed="false">
      <c r="A254" s="123" t="s">
        <v>3660</v>
      </c>
      <c r="B254" s="126" t="n">
        <f aca="false">$B$251</f>
        <v>1500.811</v>
      </c>
      <c r="C254" s="0" t="s">
        <v>2999</v>
      </c>
      <c r="H254" s="10" t="s">
        <v>3661</v>
      </c>
    </row>
    <row r="255" customFormat="false" ht="15" hidden="false" customHeight="false" outlineLevel="0" collapsed="false">
      <c r="A255" s="123" t="s">
        <v>3662</v>
      </c>
      <c r="B255" s="109"/>
      <c r="C255" s="0" t="s">
        <v>2999</v>
      </c>
    </row>
    <row r="256" customFormat="false" ht="15" hidden="false" customHeight="false" outlineLevel="0" collapsed="false">
      <c r="A256" s="17" t="s">
        <v>3471</v>
      </c>
      <c r="C256" s="0" t="s">
        <v>42</v>
      </c>
      <c r="D256" s="123" t="s">
        <v>3663</v>
      </c>
      <c r="G256" s="0" t="s">
        <v>42</v>
      </c>
      <c r="H256" s="27" t="s">
        <v>3664</v>
      </c>
    </row>
    <row r="258" customFormat="false" ht="15" hidden="false" customHeight="false" outlineLevel="0" collapsed="false">
      <c r="A258" s="17" t="s">
        <v>3665</v>
      </c>
      <c r="D258" s="123" t="s">
        <v>3666</v>
      </c>
    </row>
    <row r="259" customFormat="false" ht="15" hidden="false" customHeight="false" outlineLevel="0" collapsed="false">
      <c r="A259" s="123" t="s">
        <v>3660</v>
      </c>
      <c r="B259" s="126" t="n">
        <f aca="false">$B$251</f>
        <v>1500.811</v>
      </c>
      <c r="C259" s="0" t="s">
        <v>2999</v>
      </c>
      <c r="H259" s="10" t="s">
        <v>3661</v>
      </c>
    </row>
    <row r="260" customFormat="false" ht="15" hidden="false" customHeight="false" outlineLevel="0" collapsed="false">
      <c r="A260" s="123" t="s">
        <v>3662</v>
      </c>
      <c r="B260" s="109"/>
      <c r="C260" s="0" t="s">
        <v>2999</v>
      </c>
    </row>
    <row r="261" customFormat="false" ht="15" hidden="false" customHeight="false" outlineLevel="0" collapsed="false">
      <c r="A261" s="17" t="s">
        <v>3471</v>
      </c>
      <c r="C261" s="0" t="s">
        <v>2999</v>
      </c>
      <c r="D261" s="123" t="s">
        <v>3667</v>
      </c>
      <c r="G261" s="0" t="s">
        <v>2999</v>
      </c>
    </row>
    <row r="263" customFormat="false" ht="15" hidden="false" customHeight="false" outlineLevel="0" collapsed="false">
      <c r="A263" s="17" t="s">
        <v>3668</v>
      </c>
      <c r="D263" s="123" t="s">
        <v>3669</v>
      </c>
    </row>
    <row r="264" customFormat="false" ht="15" hidden="false" customHeight="false" outlineLevel="0" collapsed="false">
      <c r="A264" s="123" t="s">
        <v>3660</v>
      </c>
      <c r="B264" s="126" t="n">
        <f aca="false">$B$251</f>
        <v>1500.811</v>
      </c>
      <c r="C264" s="0" t="s">
        <v>2999</v>
      </c>
      <c r="H264" s="10" t="s">
        <v>3661</v>
      </c>
    </row>
    <row r="265" customFormat="false" ht="15" hidden="false" customHeight="false" outlineLevel="0" collapsed="false">
      <c r="A265" s="123" t="s">
        <v>3662</v>
      </c>
      <c r="B265" s="109"/>
      <c r="C265" s="0" t="s">
        <v>2999</v>
      </c>
    </row>
    <row r="266" customFormat="false" ht="15" hidden="false" customHeight="false" outlineLevel="0" collapsed="false">
      <c r="A266" s="17" t="s">
        <v>3471</v>
      </c>
      <c r="D266" s="123" t="s">
        <v>3670</v>
      </c>
      <c r="H266" s="27" t="s">
        <v>3671</v>
      </c>
    </row>
    <row r="269" customFormat="false" ht="15" hidden="false" customHeight="false" outlineLevel="0" collapsed="false">
      <c r="A269" s="8" t="s">
        <v>3672</v>
      </c>
      <c r="B269" s="8"/>
      <c r="C269" s="8"/>
      <c r="D269" s="8"/>
      <c r="E269" s="8"/>
      <c r="F269" s="8"/>
      <c r="G269" s="8"/>
      <c r="H269" s="8"/>
    </row>
    <row r="270" customFormat="false" ht="15" hidden="false" customHeight="false" outlineLevel="0" collapsed="false">
      <c r="A270" s="9" t="s">
        <v>3459</v>
      </c>
      <c r="B270" s="9" t="s">
        <v>3460</v>
      </c>
      <c r="C270" s="9" t="s">
        <v>15</v>
      </c>
      <c r="D270" s="9" t="s">
        <v>3461</v>
      </c>
      <c r="E270" s="9" t="s">
        <v>3462</v>
      </c>
      <c r="F270" s="9" t="s">
        <v>3463</v>
      </c>
      <c r="G270" s="9" t="s">
        <v>15</v>
      </c>
      <c r="H270" s="9" t="s">
        <v>3464</v>
      </c>
      <c r="I270" s="10" t="s">
        <v>20</v>
      </c>
    </row>
    <row r="271" customFormat="false" ht="15" hidden="false" customHeight="false" outlineLevel="0" collapsed="false">
      <c r="A271" s="17" t="s">
        <v>3673</v>
      </c>
      <c r="D271" s="123" t="s">
        <v>3674</v>
      </c>
      <c r="I271" s="16" t="str">
        <f aca="false">IF(AND(LEN(TRIM(A271&amp;""))&gt;0,TRIM(A271&amp;"")&lt;&gt;"—"),"PASS","⚠ FAIL — "&amp;"a required cell is empty/placeholder or wrong type")</f>
        <v>PASS</v>
      </c>
    </row>
    <row r="272" customFormat="false" ht="15" hidden="false" customHeight="false" outlineLevel="0" collapsed="false">
      <c r="A272" s="123" t="s">
        <v>3675</v>
      </c>
      <c r="B272" s="125" t="n">
        <v>80</v>
      </c>
      <c r="I272" s="16" t="str">
        <f aca="false">IF(AND(LEN(TRIM(A272&amp;""))&gt;0,TRIM(A272&amp;"")&lt;&gt;"—"),"PASS","⚠ FAIL — "&amp;"a required cell is empty/placeholder or wrong type")</f>
        <v>PASS</v>
      </c>
    </row>
    <row r="273" customFormat="false" ht="15" hidden="false" customHeight="false" outlineLevel="0" collapsed="false">
      <c r="A273" s="123" t="s">
        <v>3676</v>
      </c>
      <c r="B273" s="125" t="n">
        <v>20</v>
      </c>
      <c r="I273" s="16" t="str">
        <f aca="false">IF(AND(LEN(TRIM(A273&amp;""))&gt;0,TRIM(A273&amp;"")&lt;&gt;"—"),"PASS","⚠ FAIL — "&amp;"a required cell is empty/placeholder or wrong type")</f>
        <v>PASS</v>
      </c>
    </row>
    <row r="274" customFormat="false" ht="15" hidden="false" customHeight="false" outlineLevel="0" collapsed="false">
      <c r="A274" s="17" t="s">
        <v>3471</v>
      </c>
      <c r="B274" s="126" t="n">
        <v>23.0831984945154</v>
      </c>
      <c r="C274" s="0" t="s">
        <v>3025</v>
      </c>
      <c r="D274" s="123" t="s">
        <v>3674</v>
      </c>
      <c r="E274" s="127" t="n">
        <v>23.0831984945154</v>
      </c>
      <c r="F274" s="127" t="n">
        <f aca="false">B274-E274</f>
        <v>0</v>
      </c>
      <c r="G274" s="0" t="s">
        <v>3025</v>
      </c>
      <c r="I274" s="16" t="str">
        <f aca="false">IF(AND(LEN(TRIM(A274&amp;""))&gt;0,TRIM(A274&amp;"")&lt;&gt;"—"),"PASS","⚠ FAIL — "&amp;"a required cell is empty/placeholder or wrong type")</f>
        <v>PASS</v>
      </c>
    </row>
    <row r="276" customFormat="false" ht="15" hidden="false" customHeight="false" outlineLevel="0" collapsed="false">
      <c r="A276" s="17" t="s">
        <v>3677</v>
      </c>
      <c r="D276" s="123" t="s">
        <v>3564</v>
      </c>
    </row>
    <row r="277" customFormat="false" ht="15" hidden="false" customHeight="false" outlineLevel="0" collapsed="false">
      <c r="A277" s="123" t="s">
        <v>3561</v>
      </c>
      <c r="B277" s="125" t="n">
        <v>80</v>
      </c>
    </row>
    <row r="278" customFormat="false" ht="15" hidden="false" customHeight="false" outlineLevel="0" collapsed="false">
      <c r="A278" s="123" t="s">
        <v>3565</v>
      </c>
      <c r="B278" s="125" t="n">
        <v>23.0831984945154</v>
      </c>
    </row>
    <row r="279" customFormat="false" ht="15" hidden="false" customHeight="false" outlineLevel="0" collapsed="false">
      <c r="A279" s="17" t="s">
        <v>3471</v>
      </c>
      <c r="B279" s="126" t="n">
        <v>3.46572421577573</v>
      </c>
      <c r="C279" s="0" t="s">
        <v>3021</v>
      </c>
      <c r="D279" s="123" t="s">
        <v>3564</v>
      </c>
      <c r="E279" s="127" t="n">
        <v>3.46572421577573</v>
      </c>
      <c r="F279" s="127" t="n">
        <f aca="false">B279-E279</f>
        <v>0</v>
      </c>
      <c r="G279" s="0" t="s">
        <v>3021</v>
      </c>
    </row>
    <row r="282" customFormat="false" ht="15" hidden="false" customHeight="false" outlineLevel="0" collapsed="false">
      <c r="A282" s="8" t="s">
        <v>3678</v>
      </c>
      <c r="B282" s="8"/>
      <c r="C282" s="8"/>
      <c r="D282" s="8"/>
      <c r="E282" s="8"/>
      <c r="F282" s="8"/>
      <c r="G282" s="8"/>
      <c r="H282" s="8"/>
    </row>
    <row r="283" customFormat="false" ht="15" hidden="false" customHeight="false" outlineLevel="0" collapsed="false">
      <c r="A283" s="9" t="s">
        <v>3459</v>
      </c>
      <c r="B283" s="9" t="s">
        <v>3460</v>
      </c>
      <c r="C283" s="9" t="s">
        <v>15</v>
      </c>
      <c r="D283" s="9" t="s">
        <v>3461</v>
      </c>
      <c r="E283" s="9" t="s">
        <v>3462</v>
      </c>
      <c r="F283" s="9" t="s">
        <v>3463</v>
      </c>
      <c r="G283" s="9" t="s">
        <v>15</v>
      </c>
      <c r="H283" s="9" t="s">
        <v>3464</v>
      </c>
      <c r="I283" s="10" t="s">
        <v>20</v>
      </c>
    </row>
    <row r="284" customFormat="false" ht="15" hidden="false" customHeight="false" outlineLevel="0" collapsed="false">
      <c r="A284" s="17" t="s">
        <v>3679</v>
      </c>
      <c r="D284" s="123" t="s">
        <v>3680</v>
      </c>
      <c r="I284" s="16" t="str">
        <f aca="false">IF(AND(LEN(TRIM(A284&amp;""))&gt;0,TRIM(A284&amp;"")&lt;&gt;"—"),"PASS","⚠ FAIL — "&amp;"a required cell is empty/placeholder or wrong type")</f>
        <v>PASS</v>
      </c>
    </row>
    <row r="285" customFormat="false" ht="15" hidden="false" customHeight="false" outlineLevel="0" collapsed="false">
      <c r="A285" s="123" t="s">
        <v>3681</v>
      </c>
      <c r="B285" s="125" t="n">
        <v>2</v>
      </c>
      <c r="C285" s="0" t="s">
        <v>3682</v>
      </c>
      <c r="I285" s="16" t="str">
        <f aca="false">IF(AND(LEN(TRIM(A285&amp;""))&gt;0,TRIM(A285&amp;"")&lt;&gt;"—"),"PASS","⚠ FAIL — "&amp;"a required cell is empty/placeholder or wrong type")</f>
        <v>PASS</v>
      </c>
    </row>
    <row r="286" customFormat="false" ht="15" hidden="false" customHeight="false" outlineLevel="0" collapsed="false">
      <c r="A286" s="123" t="s">
        <v>3683</v>
      </c>
      <c r="B286" s="125" t="n">
        <v>1.2</v>
      </c>
      <c r="I286" s="16" t="str">
        <f aca="false">IF(AND(LEN(TRIM(A286&amp;""))&gt;0,TRIM(A286&amp;"")&lt;&gt;"—"),"PASS","⚠ FAIL — "&amp;"a required cell is empty/placeholder or wrong type")</f>
        <v>PASS</v>
      </c>
    </row>
    <row r="287" customFormat="false" ht="15" hidden="false" customHeight="false" outlineLevel="0" collapsed="false">
      <c r="A287" s="123" t="s">
        <v>3684</v>
      </c>
      <c r="B287" s="125" t="n">
        <v>8000</v>
      </c>
      <c r="C287" s="0" t="s">
        <v>2176</v>
      </c>
      <c r="I287" s="16" t="str">
        <f aca="false">IF(AND(LEN(TRIM(A287&amp;""))&gt;0,TRIM(A287&amp;"")&lt;&gt;"—"),"PASS","⚠ FAIL — "&amp;"a required cell is empty/placeholder or wrong type")</f>
        <v>PASS</v>
      </c>
    </row>
    <row r="288" customFormat="false" ht="15" hidden="false" customHeight="false" outlineLevel="0" collapsed="false">
      <c r="A288" s="17" t="s">
        <v>3471</v>
      </c>
      <c r="B288" s="126" t="n">
        <v>19.2</v>
      </c>
      <c r="C288" s="0" t="s">
        <v>3685</v>
      </c>
      <c r="D288" s="123" t="s">
        <v>3686</v>
      </c>
      <c r="E288" s="127" t="n">
        <v>19.2</v>
      </c>
      <c r="F288" s="127" t="n">
        <f aca="false">B288-E288</f>
        <v>0</v>
      </c>
      <c r="G288" s="0" t="s">
        <v>3685</v>
      </c>
      <c r="H288" s="27" t="s">
        <v>3687</v>
      </c>
      <c r="I288" s="16" t="str">
        <f aca="false">IF(AND(LEN(TRIM(A288&amp;""))&gt;0,TRIM(A288&amp;"")&lt;&gt;"—"),"PASS","⚠ FAIL — "&amp;"a required cell is empty/placeholder or wrong type")</f>
        <v>PASS</v>
      </c>
    </row>
    <row r="290" customFormat="false" ht="15" hidden="false" customHeight="false" outlineLevel="0" collapsed="false">
      <c r="A290" s="17" t="s">
        <v>3688</v>
      </c>
      <c r="D290" s="123" t="s">
        <v>3689</v>
      </c>
    </row>
    <row r="291" customFormat="false" ht="15" hidden="false" customHeight="false" outlineLevel="0" collapsed="false">
      <c r="A291" s="123" t="s">
        <v>3690</v>
      </c>
      <c r="B291" s="126" t="n">
        <f aca="false">$B$288</f>
        <v>19.2</v>
      </c>
      <c r="C291" s="0" t="s">
        <v>3685</v>
      </c>
      <c r="H291" s="10" t="s">
        <v>3691</v>
      </c>
    </row>
    <row r="292" customFormat="false" ht="15" hidden="false" customHeight="false" outlineLevel="0" collapsed="false">
      <c r="A292" s="123" t="s">
        <v>3692</v>
      </c>
      <c r="B292" s="125" t="n">
        <v>1</v>
      </c>
      <c r="C292" s="0" t="s">
        <v>3693</v>
      </c>
    </row>
    <row r="293" customFormat="false" ht="15" hidden="false" customHeight="false" outlineLevel="0" collapsed="false">
      <c r="A293" s="17" t="s">
        <v>3471</v>
      </c>
      <c r="B293" s="126" t="n">
        <v>19200</v>
      </c>
      <c r="C293" s="0" t="s">
        <v>3694</v>
      </c>
      <c r="D293" s="123" t="s">
        <v>3695</v>
      </c>
      <c r="E293" s="127" t="n">
        <v>19200</v>
      </c>
      <c r="F293" s="127" t="n">
        <f aca="false">B293-E293</f>
        <v>0</v>
      </c>
      <c r="G293" s="0" t="s">
        <v>3694</v>
      </c>
      <c r="H293" s="27" t="s">
        <v>3696</v>
      </c>
    </row>
    <row r="295" customFormat="false" ht="15" hidden="false" customHeight="false" outlineLevel="0" collapsed="false">
      <c r="A295" s="17" t="s">
        <v>3697</v>
      </c>
      <c r="D295" s="123" t="s">
        <v>3698</v>
      </c>
    </row>
    <row r="296" customFormat="false" ht="15" hidden="false" customHeight="false" outlineLevel="0" collapsed="false">
      <c r="A296" s="123" t="s">
        <v>3699</v>
      </c>
      <c r="B296" s="125" t="n">
        <v>0</v>
      </c>
      <c r="C296" s="0" t="s">
        <v>3700</v>
      </c>
    </row>
    <row r="297" customFormat="false" ht="15" hidden="false" customHeight="false" outlineLevel="0" collapsed="false">
      <c r="A297" s="17" t="s">
        <v>3471</v>
      </c>
      <c r="B297" s="126" t="n">
        <v>0</v>
      </c>
      <c r="C297" s="0" t="s">
        <v>3701</v>
      </c>
      <c r="D297" s="123" t="s">
        <v>3702</v>
      </c>
      <c r="E297" s="127" t="n">
        <v>0</v>
      </c>
      <c r="F297" s="127" t="n">
        <f aca="false">B297-E297</f>
        <v>0</v>
      </c>
      <c r="G297" s="0" t="s">
        <v>3701</v>
      </c>
      <c r="H297" s="27" t="s">
        <v>3703</v>
      </c>
    </row>
    <row r="299" customFormat="false" ht="15" hidden="false" customHeight="false" outlineLevel="0" collapsed="false">
      <c r="A299" s="17" t="s">
        <v>3704</v>
      </c>
      <c r="D299" s="123" t="s">
        <v>3705</v>
      </c>
    </row>
    <row r="300" customFormat="false" ht="15" hidden="false" customHeight="false" outlineLevel="0" collapsed="false">
      <c r="A300" s="123" t="s">
        <v>3706</v>
      </c>
      <c r="B300" s="126" t="n">
        <f aca="false">$B$297</f>
        <v>0</v>
      </c>
      <c r="C300" s="0" t="s">
        <v>3701</v>
      </c>
      <c r="H300" s="10" t="s">
        <v>3707</v>
      </c>
    </row>
    <row r="301" customFormat="false" ht="15" hidden="false" customHeight="false" outlineLevel="0" collapsed="false">
      <c r="A301" s="17" t="s">
        <v>3471</v>
      </c>
      <c r="B301" s="126" t="n">
        <v>0</v>
      </c>
      <c r="C301" s="0" t="s">
        <v>3701</v>
      </c>
      <c r="D301" s="123" t="s">
        <v>3708</v>
      </c>
      <c r="E301" s="127" t="n">
        <v>0</v>
      </c>
      <c r="F301" s="127" t="n">
        <f aca="false">B301-E301</f>
        <v>0</v>
      </c>
      <c r="G301" s="0" t="s">
        <v>3701</v>
      </c>
      <c r="H301" s="27" t="s">
        <v>3709</v>
      </c>
    </row>
    <row r="303" customFormat="false" ht="15" hidden="false" customHeight="false" outlineLevel="0" collapsed="false">
      <c r="A303" s="17" t="s">
        <v>3710</v>
      </c>
      <c r="D303" s="123" t="s">
        <v>3711</v>
      </c>
    </row>
    <row r="304" customFormat="false" ht="15" hidden="false" customHeight="false" outlineLevel="0" collapsed="false">
      <c r="A304" s="123" t="s">
        <v>3712</v>
      </c>
      <c r="B304" s="126" t="n">
        <f aca="false">$B$301</f>
        <v>0</v>
      </c>
      <c r="C304" s="0" t="s">
        <v>3701</v>
      </c>
      <c r="H304" s="10" t="s">
        <v>3713</v>
      </c>
    </row>
    <row r="305" customFormat="false" ht="15" hidden="false" customHeight="false" outlineLevel="0" collapsed="false">
      <c r="A305" s="123" t="s">
        <v>3681</v>
      </c>
      <c r="B305" s="125" t="n">
        <v>2</v>
      </c>
      <c r="C305" s="0" t="s">
        <v>3682</v>
      </c>
    </row>
    <row r="306" customFormat="false" ht="15" hidden="false" customHeight="false" outlineLevel="0" collapsed="false">
      <c r="A306" s="123" t="s">
        <v>3684</v>
      </c>
      <c r="B306" s="125" t="n">
        <v>8000</v>
      </c>
      <c r="C306" s="0" t="s">
        <v>2176</v>
      </c>
    </row>
    <row r="307" customFormat="false" ht="15" hidden="false" customHeight="false" outlineLevel="0" collapsed="false">
      <c r="A307" s="17" t="s">
        <v>3471</v>
      </c>
      <c r="B307" s="126" t="n">
        <v>0</v>
      </c>
      <c r="C307" s="0" t="s">
        <v>3714</v>
      </c>
      <c r="D307" s="123" t="s">
        <v>3715</v>
      </c>
      <c r="E307" s="127" t="n">
        <v>0</v>
      </c>
      <c r="F307" s="127" t="n">
        <f aca="false">B307-E307</f>
        <v>0</v>
      </c>
      <c r="G307" s="0" t="s">
        <v>3714</v>
      </c>
      <c r="H307" s="27" t="s">
        <v>3716</v>
      </c>
    </row>
    <row r="310" customFormat="false" ht="15" hidden="false" customHeight="false" outlineLevel="0" collapsed="false">
      <c r="A310" s="8" t="s">
        <v>3717</v>
      </c>
      <c r="B310" s="8"/>
      <c r="C310" s="8"/>
      <c r="D310" s="8"/>
      <c r="E310" s="8"/>
      <c r="F310" s="8"/>
      <c r="G310" s="8"/>
      <c r="H310" s="8"/>
    </row>
    <row r="311" customFormat="false" ht="15" hidden="false" customHeight="false" outlineLevel="0" collapsed="false">
      <c r="A311" s="9" t="s">
        <v>3459</v>
      </c>
      <c r="B311" s="9" t="s">
        <v>3460</v>
      </c>
      <c r="C311" s="9" t="s">
        <v>15</v>
      </c>
      <c r="D311" s="9" t="s">
        <v>3461</v>
      </c>
      <c r="E311" s="9" t="s">
        <v>3462</v>
      </c>
      <c r="F311" s="9" t="s">
        <v>3463</v>
      </c>
      <c r="G311" s="9" t="s">
        <v>15</v>
      </c>
      <c r="H311" s="9" t="s">
        <v>3464</v>
      </c>
      <c r="I311" s="10" t="s">
        <v>20</v>
      </c>
    </row>
    <row r="312" customFormat="false" ht="15" hidden="false" customHeight="false" outlineLevel="0" collapsed="false">
      <c r="A312" s="17" t="s">
        <v>3718</v>
      </c>
      <c r="D312" s="123" t="s">
        <v>3719</v>
      </c>
      <c r="I312" s="16" t="str">
        <f aca="false">IF(AND(LEN(TRIM(A312&amp;""))&gt;0,TRIM(A312&amp;"")&lt;&gt;"—"),"PASS","⚠ FAIL — "&amp;"a required cell is empty/placeholder or wrong type")</f>
        <v>PASS</v>
      </c>
    </row>
    <row r="313" customFormat="false" ht="15" hidden="false" customHeight="false" outlineLevel="0" collapsed="false">
      <c r="A313" s="123" t="s">
        <v>3720</v>
      </c>
      <c r="B313" s="125" t="n">
        <v>6</v>
      </c>
      <c r="C313" s="0" t="s">
        <v>3721</v>
      </c>
      <c r="I313" s="16" t="str">
        <f aca="false">IF(AND(LEN(TRIM(A313&amp;""))&gt;0,TRIM(A313&amp;"")&lt;&gt;"—"),"PASS","⚠ FAIL — "&amp;"a required cell is empty/placeholder or wrong type")</f>
        <v>PASS</v>
      </c>
    </row>
    <row r="314" customFormat="false" ht="15" hidden="false" customHeight="false" outlineLevel="0" collapsed="false">
      <c r="A314" s="17" t="s">
        <v>3471</v>
      </c>
      <c r="B314" s="126" t="n">
        <v>0.6</v>
      </c>
      <c r="C314" s="0" t="s">
        <v>3722</v>
      </c>
      <c r="D314" s="123" t="s">
        <v>3723</v>
      </c>
      <c r="E314" s="127" t="n">
        <v>0.6</v>
      </c>
      <c r="F314" s="127" t="n">
        <f aca="false">B314-E314</f>
        <v>0</v>
      </c>
      <c r="G314" s="0" t="s">
        <v>3722</v>
      </c>
      <c r="H314" s="27" t="s">
        <v>3724</v>
      </c>
      <c r="I314" s="16" t="str">
        <f aca="false">IF(AND(LEN(TRIM(A314&amp;""))&gt;0,TRIM(A314&amp;"")&lt;&gt;"—"),"PASS","⚠ FAIL — "&amp;"a required cell is empty/placeholder or wrong type")</f>
        <v>PASS</v>
      </c>
    </row>
    <row r="316" customFormat="false" ht="15" hidden="false" customHeight="false" outlineLevel="0" collapsed="false">
      <c r="A316" s="17" t="s">
        <v>3725</v>
      </c>
      <c r="D316" s="123" t="s">
        <v>3726</v>
      </c>
    </row>
    <row r="317" customFormat="false" ht="15" hidden="false" customHeight="false" outlineLevel="0" collapsed="false">
      <c r="A317" s="123" t="s">
        <v>3727</v>
      </c>
      <c r="B317" s="125" t="n">
        <v>0.6</v>
      </c>
      <c r="C317" s="0" t="s">
        <v>3722</v>
      </c>
    </row>
    <row r="318" customFormat="false" ht="15" hidden="false" customHeight="false" outlineLevel="0" collapsed="false">
      <c r="A318" s="123" t="s">
        <v>3728</v>
      </c>
      <c r="B318" s="125" t="n">
        <v>1358.75</v>
      </c>
      <c r="C318" s="0" t="s">
        <v>1571</v>
      </c>
    </row>
    <row r="319" customFormat="false" ht="15" hidden="false" customHeight="false" outlineLevel="0" collapsed="false">
      <c r="A319" s="123" t="s">
        <v>3553</v>
      </c>
      <c r="B319" s="125" t="n">
        <v>137</v>
      </c>
      <c r="C319" s="0" t="s">
        <v>3722</v>
      </c>
    </row>
    <row r="320" customFormat="false" ht="15" hidden="false" customHeight="false" outlineLevel="0" collapsed="false">
      <c r="A320" s="123" t="s">
        <v>3729</v>
      </c>
      <c r="B320" s="125" t="n">
        <v>0.85</v>
      </c>
    </row>
    <row r="321" customFormat="false" ht="15" hidden="false" customHeight="false" outlineLevel="0" collapsed="false">
      <c r="A321" s="123" t="s">
        <v>3730</v>
      </c>
      <c r="B321" s="125" t="n">
        <v>3</v>
      </c>
      <c r="C321" s="0" t="s">
        <v>1571</v>
      </c>
    </row>
    <row r="322" customFormat="false" ht="15" hidden="false" customHeight="false" outlineLevel="0" collapsed="false">
      <c r="A322" s="17" t="s">
        <v>3471</v>
      </c>
      <c r="B322" s="126" t="n">
        <v>6.51128434835042</v>
      </c>
      <c r="C322" s="0" t="s">
        <v>1571</v>
      </c>
      <c r="D322" s="123" t="s">
        <v>3731</v>
      </c>
      <c r="E322" s="127" t="n">
        <v>6.51128</v>
      </c>
      <c r="F322" s="127" t="n">
        <f aca="false">B322-E322</f>
        <v>4.34835041751569E-006</v>
      </c>
      <c r="G322" s="0" t="s">
        <v>1571</v>
      </c>
      <c r="H322" s="27" t="s">
        <v>3732</v>
      </c>
    </row>
    <row r="324" customFormat="false" ht="15" hidden="false" customHeight="false" outlineLevel="0" collapsed="false">
      <c r="A324" s="17" t="s">
        <v>3733</v>
      </c>
      <c r="D324" s="123" t="s">
        <v>3734</v>
      </c>
    </row>
    <row r="325" customFormat="false" ht="15" hidden="false" customHeight="false" outlineLevel="0" collapsed="false">
      <c r="A325" s="123" t="s">
        <v>3727</v>
      </c>
      <c r="B325" s="125" t="n">
        <v>0.6</v>
      </c>
      <c r="C325" s="0" t="s">
        <v>3722</v>
      </c>
    </row>
    <row r="326" customFormat="false" ht="15" hidden="false" customHeight="false" outlineLevel="0" collapsed="false">
      <c r="A326" s="123" t="s">
        <v>3728</v>
      </c>
      <c r="B326" s="125" t="n">
        <v>1358.75</v>
      </c>
      <c r="C326" s="0" t="s">
        <v>1571</v>
      </c>
    </row>
    <row r="327" customFormat="false" ht="15" hidden="false" customHeight="false" outlineLevel="0" collapsed="false">
      <c r="A327" s="123" t="s">
        <v>3735</v>
      </c>
      <c r="B327" s="126" t="n">
        <f aca="false">$B$322</f>
        <v>6.51128434835042</v>
      </c>
      <c r="C327" s="0" t="s">
        <v>1571</v>
      </c>
      <c r="H327" s="10" t="s">
        <v>3736</v>
      </c>
    </row>
    <row r="328" customFormat="false" ht="15" hidden="false" customHeight="false" outlineLevel="0" collapsed="false">
      <c r="A328" s="17" t="s">
        <v>3471</v>
      </c>
      <c r="B328" s="126" t="n">
        <v>62.6027060648411</v>
      </c>
      <c r="C328" s="0" t="s">
        <v>3722</v>
      </c>
      <c r="D328" s="123" t="s">
        <v>3737</v>
      </c>
      <c r="E328" s="127" t="n">
        <v>62.6028</v>
      </c>
      <c r="F328" s="127" t="n">
        <f aca="false">B328-E328</f>
        <v>-9.39351588797877E-005</v>
      </c>
      <c r="G328" s="0" t="s">
        <v>3722</v>
      </c>
      <c r="H328" s="27" t="s">
        <v>3738</v>
      </c>
    </row>
    <row r="330" customFormat="false" ht="15" hidden="false" customHeight="false" outlineLevel="0" collapsed="false">
      <c r="A330" s="17" t="s">
        <v>3739</v>
      </c>
      <c r="D330" s="123" t="s">
        <v>3740</v>
      </c>
    </row>
    <row r="331" customFormat="false" ht="15" hidden="false" customHeight="false" outlineLevel="0" collapsed="false">
      <c r="A331" s="123" t="s">
        <v>3741</v>
      </c>
      <c r="B331" s="125" t="n">
        <v>290</v>
      </c>
      <c r="C331" s="0" t="s">
        <v>3722</v>
      </c>
    </row>
    <row r="332" customFormat="false" ht="15" hidden="false" customHeight="false" outlineLevel="0" collapsed="false">
      <c r="A332" s="123" t="s">
        <v>3742</v>
      </c>
      <c r="B332" s="126" t="n">
        <f aca="false">$B$328</f>
        <v>62.6027060648411</v>
      </c>
      <c r="C332" s="0" t="s">
        <v>3722</v>
      </c>
      <c r="H332" s="10" t="s">
        <v>3743</v>
      </c>
    </row>
    <row r="333" customFormat="false" ht="15" hidden="false" customHeight="false" outlineLevel="0" collapsed="false">
      <c r="A333" s="17" t="s">
        <v>3471</v>
      </c>
      <c r="B333" s="126" t="n">
        <v>4.63238066028996</v>
      </c>
      <c r="D333" s="123" t="s">
        <v>3744</v>
      </c>
      <c r="E333" s="127" t="n">
        <v>4.63238</v>
      </c>
      <c r="F333" s="127" t="n">
        <f aca="false">B333-E333</f>
        <v>6.60289954268478E-007</v>
      </c>
      <c r="H333" s="27" t="s">
        <v>3745</v>
      </c>
    </row>
    <row r="335" customFormat="false" ht="15" hidden="false" customHeight="false" outlineLevel="0" collapsed="false">
      <c r="A335" s="17" t="s">
        <v>3746</v>
      </c>
      <c r="D335" s="123" t="s">
        <v>3747</v>
      </c>
    </row>
    <row r="336" customFormat="false" ht="15" hidden="false" customHeight="false" outlineLevel="0" collapsed="false">
      <c r="A336" s="123" t="s">
        <v>3748</v>
      </c>
      <c r="B336" s="125" t="n">
        <v>685.886</v>
      </c>
      <c r="C336" s="0" t="s">
        <v>1571</v>
      </c>
    </row>
    <row r="337" customFormat="false" ht="15" hidden="false" customHeight="false" outlineLevel="0" collapsed="false">
      <c r="A337" s="123" t="s">
        <v>3749</v>
      </c>
      <c r="B337" s="125" t="n">
        <v>679.374</v>
      </c>
      <c r="C337" s="0" t="s">
        <v>1571</v>
      </c>
    </row>
    <row r="338" customFormat="false" ht="15" hidden="false" customHeight="false" outlineLevel="0" collapsed="false">
      <c r="A338" s="123" t="s">
        <v>3750</v>
      </c>
      <c r="B338" s="125" t="n">
        <v>1800</v>
      </c>
      <c r="C338" s="0" t="s">
        <v>1571</v>
      </c>
    </row>
    <row r="339" customFormat="false" ht="15" hidden="false" customHeight="false" outlineLevel="0" collapsed="false">
      <c r="A339" s="123" t="s">
        <v>3751</v>
      </c>
      <c r="B339" s="125" t="n">
        <v>8000</v>
      </c>
      <c r="C339" s="0" t="s">
        <v>3752</v>
      </c>
    </row>
    <row r="340" customFormat="false" ht="15" hidden="false" customHeight="false" outlineLevel="0" collapsed="false">
      <c r="A340" s="17" t="s">
        <v>3471</v>
      </c>
      <c r="B340" s="126" t="n">
        <v>402.200052479922</v>
      </c>
      <c r="C340" s="0" t="s">
        <v>2999</v>
      </c>
      <c r="D340" s="123" t="s">
        <v>3753</v>
      </c>
      <c r="E340" s="127" t="n">
        <v>402.156</v>
      </c>
      <c r="F340" s="127" t="n">
        <f aca="false">B340-E340</f>
        <v>0.0440524799216746</v>
      </c>
      <c r="G340" s="0" t="s">
        <v>2999</v>
      </c>
      <c r="H340" s="27" t="s">
        <v>3754</v>
      </c>
    </row>
    <row r="342" customFormat="false" ht="15" hidden="false" customHeight="false" outlineLevel="0" collapsed="false">
      <c r="A342" s="17" t="s">
        <v>3755</v>
      </c>
      <c r="D342" s="123" t="s">
        <v>3756</v>
      </c>
    </row>
    <row r="343" customFormat="false" ht="15" hidden="false" customHeight="false" outlineLevel="0" collapsed="false">
      <c r="A343" s="123" t="s">
        <v>3748</v>
      </c>
      <c r="B343" s="125" t="n">
        <v>685.886</v>
      </c>
      <c r="C343" s="0" t="s">
        <v>1571</v>
      </c>
    </row>
    <row r="344" customFormat="false" ht="15" hidden="false" customHeight="false" outlineLevel="0" collapsed="false">
      <c r="A344" s="123" t="s">
        <v>3735</v>
      </c>
      <c r="B344" s="126" t="n">
        <f aca="false">$B$322</f>
        <v>6.51128434835042</v>
      </c>
      <c r="C344" s="0" t="s">
        <v>1571</v>
      </c>
      <c r="H344" s="10" t="s">
        <v>3736</v>
      </c>
    </row>
    <row r="345" customFormat="false" ht="15" hidden="false" customHeight="false" outlineLevel="0" collapsed="false">
      <c r="A345" s="123" t="s">
        <v>3751</v>
      </c>
      <c r="B345" s="125" t="n">
        <v>8000</v>
      </c>
      <c r="C345" s="0" t="s">
        <v>3752</v>
      </c>
    </row>
    <row r="346" customFormat="false" ht="15" hidden="false" customHeight="false" outlineLevel="0" collapsed="false">
      <c r="A346" s="17" t="s">
        <v>3471</v>
      </c>
      <c r="B346" s="126" t="n">
        <v>153.971888802312</v>
      </c>
      <c r="C346" s="0" t="s">
        <v>2999</v>
      </c>
      <c r="D346" s="123" t="s">
        <v>3757</v>
      </c>
      <c r="E346" s="127" t="n">
        <v>153.971</v>
      </c>
      <c r="F346" s="127" t="n">
        <f aca="false">B346-E346</f>
        <v>0.000888802312204007</v>
      </c>
      <c r="G346" s="0" t="s">
        <v>2999</v>
      </c>
      <c r="H346" s="27" t="s">
        <v>3758</v>
      </c>
    </row>
    <row r="348" customFormat="false" ht="15" hidden="false" customHeight="false" outlineLevel="0" collapsed="false">
      <c r="A348" s="17" t="s">
        <v>3759</v>
      </c>
      <c r="D348" s="123" t="s">
        <v>3760</v>
      </c>
    </row>
    <row r="349" customFormat="false" ht="15" hidden="false" customHeight="false" outlineLevel="0" collapsed="false">
      <c r="A349" s="123" t="s">
        <v>3761</v>
      </c>
      <c r="B349" s="125" t="n">
        <v>402.156</v>
      </c>
      <c r="C349" s="0" t="s">
        <v>2999</v>
      </c>
    </row>
    <row r="350" customFormat="false" ht="15" hidden="false" customHeight="false" outlineLevel="0" collapsed="false">
      <c r="A350" s="123" t="s">
        <v>3762</v>
      </c>
      <c r="B350" s="125" t="n">
        <v>153.971</v>
      </c>
      <c r="C350" s="0" t="s">
        <v>2999</v>
      </c>
    </row>
    <row r="351" customFormat="false" ht="15" hidden="false" customHeight="false" outlineLevel="0" collapsed="false">
      <c r="A351" s="17" t="s">
        <v>3471</v>
      </c>
      <c r="B351" s="126" t="n">
        <v>556.127</v>
      </c>
      <c r="C351" s="0" t="s">
        <v>2999</v>
      </c>
      <c r="D351" s="123" t="s">
        <v>3763</v>
      </c>
      <c r="E351" s="127" t="n">
        <v>556.127</v>
      </c>
      <c r="F351" s="127" t="n">
        <f aca="false">B351-E351</f>
        <v>0</v>
      </c>
      <c r="G351" s="0" t="s">
        <v>2999</v>
      </c>
    </row>
    <row r="354" customFormat="false" ht="15" hidden="false" customHeight="false" outlineLevel="0" collapsed="false">
      <c r="A354" s="8" t="s">
        <v>3764</v>
      </c>
      <c r="B354" s="8"/>
      <c r="C354" s="8"/>
      <c r="D354" s="8"/>
      <c r="E354" s="8"/>
      <c r="F354" s="8"/>
      <c r="G354" s="8"/>
      <c r="H354" s="8"/>
    </row>
    <row r="355" customFormat="false" ht="15" hidden="false" customHeight="false" outlineLevel="0" collapsed="false">
      <c r="A355" s="9" t="s">
        <v>3459</v>
      </c>
      <c r="B355" s="9" t="s">
        <v>3460</v>
      </c>
      <c r="C355" s="9" t="s">
        <v>15</v>
      </c>
      <c r="D355" s="9" t="s">
        <v>3461</v>
      </c>
      <c r="E355" s="9" t="s">
        <v>3462</v>
      </c>
      <c r="F355" s="9" t="s">
        <v>3463</v>
      </c>
      <c r="G355" s="9" t="s">
        <v>15</v>
      </c>
      <c r="H355" s="9" t="s">
        <v>3464</v>
      </c>
      <c r="I355" s="10" t="s">
        <v>20</v>
      </c>
    </row>
    <row r="356" customFormat="false" ht="15" hidden="false" customHeight="false" outlineLevel="0" collapsed="false">
      <c r="A356" s="17" t="s">
        <v>3765</v>
      </c>
      <c r="D356" s="123" t="s">
        <v>3766</v>
      </c>
      <c r="I356" s="16" t="str">
        <f aca="false">IF(AND(LEN(TRIM(A356&amp;""))&gt;0,TRIM(A356&amp;"")&lt;&gt;"—"),"PASS","⚠ FAIL — "&amp;"a required cell is empty/placeholder or wrong type")</f>
        <v>PASS</v>
      </c>
    </row>
    <row r="357" customFormat="false" ht="15" hidden="false" customHeight="false" outlineLevel="0" collapsed="false">
      <c r="A357" s="123" t="s">
        <v>3767</v>
      </c>
      <c r="B357" s="125" t="n">
        <v>45</v>
      </c>
      <c r="C357" s="0" t="s">
        <v>33</v>
      </c>
      <c r="I357" s="16" t="str">
        <f aca="false">IF(AND(LEN(TRIM(A357&amp;""))&gt;0,TRIM(A357&amp;"")&lt;&gt;"—"),"PASS","⚠ FAIL — "&amp;"a required cell is empty/placeholder or wrong type")</f>
        <v>PASS</v>
      </c>
    </row>
    <row r="358" customFormat="false" ht="15" hidden="false" customHeight="false" outlineLevel="0" collapsed="false">
      <c r="A358" s="123" t="s">
        <v>3768</v>
      </c>
      <c r="B358" s="125" t="n">
        <v>2</v>
      </c>
      <c r="I358" s="16" t="str">
        <f aca="false">IF(AND(LEN(TRIM(A358&amp;""))&gt;0,TRIM(A358&amp;"")&lt;&gt;"—"),"PASS","⚠ FAIL — "&amp;"a required cell is empty/placeholder or wrong type")</f>
        <v>PASS</v>
      </c>
    </row>
    <row r="359" customFormat="false" ht="22.35" hidden="false" customHeight="false" outlineLevel="0" collapsed="false">
      <c r="A359" s="17" t="s">
        <v>3471</v>
      </c>
      <c r="B359" s="126" t="n">
        <v>22.5</v>
      </c>
      <c r="C359" s="0" t="s">
        <v>33</v>
      </c>
      <c r="D359" s="123" t="s">
        <v>3769</v>
      </c>
      <c r="E359" s="127" t="n">
        <v>22.5</v>
      </c>
      <c r="F359" s="127" t="n">
        <f aca="false">B359-E359</f>
        <v>0</v>
      </c>
      <c r="G359" s="0" t="s">
        <v>33</v>
      </c>
      <c r="H359" s="27" t="s">
        <v>3770</v>
      </c>
      <c r="I359" s="16" t="str">
        <f aca="false">IF(AND(LEN(TRIM(A359&amp;""))&gt;0,TRIM(A359&amp;"")&lt;&gt;"—"),"PASS","⚠ FAIL — "&amp;"a required cell is empty/placeholder or wrong type")</f>
        <v>PASS</v>
      </c>
    </row>
    <row r="361" customFormat="false" ht="15" hidden="false" customHeight="false" outlineLevel="0" collapsed="false">
      <c r="A361" s="17" t="s">
        <v>3642</v>
      </c>
      <c r="D361" s="123" t="s">
        <v>3771</v>
      </c>
    </row>
    <row r="362" customFormat="false" ht="15" hidden="false" customHeight="false" outlineLevel="0" collapsed="false">
      <c r="A362" s="123" t="s">
        <v>3623</v>
      </c>
      <c r="B362" s="125" t="n">
        <v>22.5</v>
      </c>
      <c r="C362" s="0" t="s">
        <v>33</v>
      </c>
    </row>
    <row r="363" customFormat="false" ht="15" hidden="false" customHeight="false" outlineLevel="0" collapsed="false">
      <c r="A363" s="123" t="s">
        <v>3728</v>
      </c>
      <c r="B363" s="125" t="n">
        <v>0.08</v>
      </c>
      <c r="C363" s="0" t="s">
        <v>2994</v>
      </c>
    </row>
    <row r="364" customFormat="false" ht="15" hidden="false" customHeight="false" outlineLevel="0" collapsed="false">
      <c r="A364" s="17" t="s">
        <v>3471</v>
      </c>
      <c r="B364" s="126" t="n">
        <v>1.24339799290543</v>
      </c>
      <c r="C364" s="0" t="s">
        <v>1535</v>
      </c>
      <c r="D364" s="123" t="s">
        <v>3772</v>
      </c>
      <c r="E364" s="127" t="n">
        <v>1.2434</v>
      </c>
      <c r="F364" s="127" t="n">
        <f aca="false">B364-E364</f>
        <v>-2.00709456810166E-006</v>
      </c>
      <c r="G364" s="0" t="s">
        <v>1535</v>
      </c>
      <c r="H364" s="27" t="s">
        <v>3773</v>
      </c>
    </row>
    <row r="366" customFormat="false" ht="15" hidden="false" customHeight="false" outlineLevel="0" collapsed="false">
      <c r="A366" s="17" t="s">
        <v>3774</v>
      </c>
      <c r="D366" s="123" t="s">
        <v>3775</v>
      </c>
    </row>
    <row r="367" customFormat="false" ht="15" hidden="false" customHeight="false" outlineLevel="0" collapsed="false">
      <c r="A367" s="123" t="s">
        <v>3776</v>
      </c>
      <c r="B367" s="126" t="n">
        <f aca="false">$B$6</f>
        <v>1000</v>
      </c>
      <c r="C367" s="0" t="s">
        <v>3752</v>
      </c>
      <c r="H367" s="10" t="s">
        <v>3777</v>
      </c>
    </row>
    <row r="368" customFormat="false" ht="15" hidden="false" customHeight="false" outlineLevel="0" collapsed="false">
      <c r="A368" s="123" t="s">
        <v>3778</v>
      </c>
      <c r="B368" s="126" t="n">
        <f aca="false">$B$364</f>
        <v>1.24339799290543</v>
      </c>
      <c r="C368" s="0" t="s">
        <v>1535</v>
      </c>
      <c r="H368" s="10" t="s">
        <v>3779</v>
      </c>
    </row>
    <row r="369" customFormat="false" ht="15" hidden="false" customHeight="false" outlineLevel="0" collapsed="false">
      <c r="A369" s="123" t="s">
        <v>3728</v>
      </c>
      <c r="B369" s="125" t="n">
        <v>0.08</v>
      </c>
      <c r="C369" s="0" t="s">
        <v>2994</v>
      </c>
    </row>
    <row r="370" customFormat="false" ht="15" hidden="false" customHeight="false" outlineLevel="0" collapsed="false">
      <c r="A370" s="123" t="s">
        <v>3780</v>
      </c>
      <c r="B370" s="126" t="n">
        <f aca="false">$B$10</f>
        <v>0.001</v>
      </c>
      <c r="C370" s="0" t="s">
        <v>3781</v>
      </c>
      <c r="H370" s="10" t="s">
        <v>3782</v>
      </c>
    </row>
    <row r="371" customFormat="false" ht="15" hidden="false" customHeight="false" outlineLevel="0" collapsed="false">
      <c r="A371" s="17" t="s">
        <v>3471</v>
      </c>
      <c r="B371" s="126" t="n">
        <v>99472</v>
      </c>
      <c r="D371" s="123" t="s">
        <v>3783</v>
      </c>
      <c r="E371" s="127" t="n">
        <v>99471.8</v>
      </c>
      <c r="F371" s="127" t="n">
        <f aca="false">B371-E371</f>
        <v>0.19999999999709</v>
      </c>
      <c r="H371" s="27" t="s">
        <v>3784</v>
      </c>
    </row>
    <row r="373" customFormat="false" ht="15" hidden="false" customHeight="false" outlineLevel="0" collapsed="false">
      <c r="A373" s="17" t="s">
        <v>3785</v>
      </c>
      <c r="D373" s="123" t="s">
        <v>3786</v>
      </c>
    </row>
    <row r="374" customFormat="false" ht="15" hidden="false" customHeight="false" outlineLevel="0" collapsed="false">
      <c r="A374" s="123" t="s">
        <v>3787</v>
      </c>
      <c r="B374" s="125" t="n">
        <v>0.000187</v>
      </c>
    </row>
    <row r="375" customFormat="false" ht="15" hidden="false" customHeight="false" outlineLevel="0" collapsed="false">
      <c r="A375" s="123" t="s">
        <v>3788</v>
      </c>
      <c r="B375" s="126" t="n">
        <f aca="false">$B$371</f>
        <v>99472</v>
      </c>
      <c r="H375" s="10" t="s">
        <v>3789</v>
      </c>
    </row>
    <row r="376" customFormat="false" ht="15" hidden="false" customHeight="false" outlineLevel="0" collapsed="false">
      <c r="A376" s="17" t="s">
        <v>3471</v>
      </c>
      <c r="B376" s="126" t="n">
        <v>0.0189434804258715</v>
      </c>
      <c r="D376" s="123" t="s">
        <v>3790</v>
      </c>
      <c r="E376" s="127" t="n">
        <v>0.01895</v>
      </c>
      <c r="F376" s="127" t="n">
        <f aca="false">B376-E376</f>
        <v>-6.51957412852247E-006</v>
      </c>
      <c r="H376" s="27" t="s">
        <v>3791</v>
      </c>
    </row>
    <row r="378" customFormat="false" ht="15" hidden="false" customHeight="false" outlineLevel="0" collapsed="false">
      <c r="A378" s="17" t="s">
        <v>3792</v>
      </c>
      <c r="D378" s="123" t="s">
        <v>3793</v>
      </c>
    </row>
    <row r="379" customFormat="false" ht="15" hidden="false" customHeight="false" outlineLevel="0" collapsed="false">
      <c r="A379" s="123" t="s">
        <v>3794</v>
      </c>
      <c r="B379" s="126" t="n">
        <f aca="false">$B$376</f>
        <v>0.0189434804258715</v>
      </c>
      <c r="H379" s="10" t="s">
        <v>3795</v>
      </c>
    </row>
    <row r="380" customFormat="false" ht="15" hidden="false" customHeight="false" outlineLevel="0" collapsed="false">
      <c r="A380" s="123" t="s">
        <v>3796</v>
      </c>
      <c r="B380" s="125" t="n">
        <v>115</v>
      </c>
      <c r="C380" s="0" t="s">
        <v>2994</v>
      </c>
    </row>
    <row r="381" customFormat="false" ht="15" hidden="false" customHeight="false" outlineLevel="0" collapsed="false">
      <c r="A381" s="123" t="s">
        <v>3728</v>
      </c>
      <c r="B381" s="125" t="n">
        <v>0.08</v>
      </c>
      <c r="C381" s="0" t="s">
        <v>2994</v>
      </c>
    </row>
    <row r="382" customFormat="false" ht="15" hidden="false" customHeight="false" outlineLevel="0" collapsed="false">
      <c r="A382" s="123" t="s">
        <v>3778</v>
      </c>
      <c r="B382" s="126" t="n">
        <f aca="false">$B$364</f>
        <v>1.24339799290543</v>
      </c>
      <c r="C382" s="0" t="s">
        <v>1535</v>
      </c>
      <c r="H382" s="10" t="s">
        <v>3779</v>
      </c>
    </row>
    <row r="383" customFormat="false" ht="15" hidden="false" customHeight="false" outlineLevel="0" collapsed="false">
      <c r="A383" s="123" t="s">
        <v>3797</v>
      </c>
      <c r="B383" s="126" t="n">
        <f aca="false">$B$8</f>
        <v>9.8066</v>
      </c>
      <c r="C383" s="0" t="s">
        <v>3798</v>
      </c>
      <c r="H383" s="10" t="s">
        <v>3799</v>
      </c>
    </row>
    <row r="384" customFormat="false" ht="15" hidden="false" customHeight="false" outlineLevel="0" collapsed="false">
      <c r="A384" s="17" t="s">
        <v>3471</v>
      </c>
      <c r="B384" s="126" t="n">
        <v>2.15295386436176</v>
      </c>
      <c r="C384" s="0" t="s">
        <v>2994</v>
      </c>
      <c r="D384" s="123" t="s">
        <v>3800</v>
      </c>
      <c r="E384" s="127" t="n">
        <v>2.147</v>
      </c>
      <c r="F384" s="127" t="n">
        <f aca="false">B384-E384</f>
        <v>0.00595386436175716</v>
      </c>
      <c r="G384" s="0" t="s">
        <v>2994</v>
      </c>
      <c r="H384" s="27" t="s">
        <v>3801</v>
      </c>
    </row>
    <row r="386" customFormat="false" ht="15" hidden="false" customHeight="false" outlineLevel="0" collapsed="false">
      <c r="A386" s="17" t="s">
        <v>3802</v>
      </c>
      <c r="D386" s="123" t="s">
        <v>3803</v>
      </c>
    </row>
    <row r="387" customFormat="false" ht="15" hidden="false" customHeight="false" outlineLevel="0" collapsed="false">
      <c r="A387" s="123" t="s">
        <v>3804</v>
      </c>
      <c r="B387" s="125" t="n">
        <v>100</v>
      </c>
      <c r="C387" s="0" t="s">
        <v>3805</v>
      </c>
    </row>
    <row r="388" customFormat="false" ht="15" hidden="false" customHeight="false" outlineLevel="0" collapsed="false">
      <c r="A388" s="123" t="s">
        <v>3776</v>
      </c>
      <c r="B388" s="126" t="n">
        <f aca="false">$B$6</f>
        <v>1000</v>
      </c>
      <c r="C388" s="0" t="s">
        <v>3752</v>
      </c>
      <c r="H388" s="10" t="s">
        <v>3777</v>
      </c>
    </row>
    <row r="389" customFormat="false" ht="15" hidden="false" customHeight="false" outlineLevel="0" collapsed="false">
      <c r="A389" s="123" t="s">
        <v>3797</v>
      </c>
      <c r="B389" s="126" t="n">
        <f aca="false">$B$8</f>
        <v>9.8066</v>
      </c>
      <c r="C389" s="0" t="s">
        <v>3798</v>
      </c>
      <c r="H389" s="10" t="s">
        <v>3799</v>
      </c>
    </row>
    <row r="390" customFormat="false" ht="15" hidden="false" customHeight="false" outlineLevel="0" collapsed="false">
      <c r="A390" s="17" t="s">
        <v>3471</v>
      </c>
      <c r="B390" s="126" t="n">
        <v>10.1972141211021</v>
      </c>
      <c r="C390" s="0" t="s">
        <v>2994</v>
      </c>
      <c r="D390" s="123" t="s">
        <v>3806</v>
      </c>
      <c r="E390" s="127" t="n">
        <v>10.197</v>
      </c>
      <c r="F390" s="127" t="n">
        <f aca="false">B390-E390</f>
        <v>0.000214121102111164</v>
      </c>
      <c r="G390" s="0" t="s">
        <v>2994</v>
      </c>
      <c r="H390" s="27" t="s">
        <v>3807</v>
      </c>
    </row>
    <row r="392" customFormat="false" ht="15" hidden="false" customHeight="false" outlineLevel="0" collapsed="false">
      <c r="A392" s="17" t="s">
        <v>3808</v>
      </c>
      <c r="D392" s="123" t="s">
        <v>3809</v>
      </c>
    </row>
    <row r="393" customFormat="false" ht="15" hidden="false" customHeight="false" outlineLevel="0" collapsed="false">
      <c r="A393" s="123" t="s">
        <v>3810</v>
      </c>
      <c r="B393" s="125" t="n">
        <v>20</v>
      </c>
      <c r="C393" s="0" t="s">
        <v>2994</v>
      </c>
    </row>
    <row r="394" customFormat="false" ht="15" hidden="false" customHeight="false" outlineLevel="0" collapsed="false">
      <c r="A394" s="17" t="s">
        <v>3471</v>
      </c>
      <c r="B394" s="126" t="n">
        <v>20</v>
      </c>
      <c r="C394" s="0" t="s">
        <v>2994</v>
      </c>
      <c r="D394" s="123" t="s">
        <v>3811</v>
      </c>
      <c r="E394" s="127" t="n">
        <v>20</v>
      </c>
      <c r="F394" s="127" t="n">
        <f aca="false">B394-E394</f>
        <v>0</v>
      </c>
      <c r="G394" s="0" t="s">
        <v>2994</v>
      </c>
      <c r="H394" s="27" t="s">
        <v>3812</v>
      </c>
    </row>
    <row r="396" customFormat="false" ht="15" hidden="false" customHeight="false" outlineLevel="0" collapsed="false">
      <c r="A396" s="17" t="s">
        <v>3621</v>
      </c>
      <c r="D396" s="123" t="s">
        <v>3813</v>
      </c>
    </row>
    <row r="397" customFormat="false" ht="15" hidden="false" customHeight="false" outlineLevel="0" collapsed="false">
      <c r="A397" s="123" t="s">
        <v>3776</v>
      </c>
      <c r="B397" s="126" t="n">
        <f aca="false">$B$6</f>
        <v>1000</v>
      </c>
      <c r="C397" s="0" t="s">
        <v>3752</v>
      </c>
      <c r="H397" s="10" t="s">
        <v>3777</v>
      </c>
    </row>
    <row r="398" customFormat="false" ht="15" hidden="false" customHeight="false" outlineLevel="0" collapsed="false">
      <c r="A398" s="123" t="s">
        <v>3797</v>
      </c>
      <c r="B398" s="126" t="n">
        <f aca="false">$B$8</f>
        <v>9.8066</v>
      </c>
      <c r="C398" s="0" t="s">
        <v>3798</v>
      </c>
      <c r="H398" s="10" t="s">
        <v>3799</v>
      </c>
    </row>
    <row r="399" customFormat="false" ht="15" hidden="false" customHeight="false" outlineLevel="0" collapsed="false">
      <c r="A399" s="123" t="s">
        <v>3623</v>
      </c>
      <c r="B399" s="125" t="n">
        <v>22.5</v>
      </c>
      <c r="C399" s="0" t="s">
        <v>33</v>
      </c>
    </row>
    <row r="400" customFormat="false" ht="15" hidden="false" customHeight="false" outlineLevel="0" collapsed="false">
      <c r="A400" s="123" t="s">
        <v>3814</v>
      </c>
      <c r="B400" s="126" t="n">
        <f aca="false">$B$394</f>
        <v>20</v>
      </c>
      <c r="C400" s="0" t="s">
        <v>2994</v>
      </c>
      <c r="H400" s="10" t="s">
        <v>3815</v>
      </c>
    </row>
    <row r="401" customFormat="false" ht="15" hidden="false" customHeight="false" outlineLevel="0" collapsed="false">
      <c r="A401" s="17" t="s">
        <v>3471</v>
      </c>
      <c r="B401" s="126" t="n">
        <v>1225.825</v>
      </c>
      <c r="C401" s="0" t="s">
        <v>3626</v>
      </c>
      <c r="D401" s="123" t="s">
        <v>3816</v>
      </c>
      <c r="E401" s="127" t="n">
        <v>1225.8</v>
      </c>
      <c r="F401" s="127" t="n">
        <f aca="false">B401-E401</f>
        <v>0.025000000000091</v>
      </c>
      <c r="G401" s="0" t="s">
        <v>3626</v>
      </c>
      <c r="H401" s="27" t="s">
        <v>3817</v>
      </c>
    </row>
    <row r="403" customFormat="false" ht="15" hidden="false" customHeight="false" outlineLevel="0" collapsed="false">
      <c r="A403" s="17" t="s">
        <v>3629</v>
      </c>
      <c r="D403" s="123" t="s">
        <v>3630</v>
      </c>
    </row>
    <row r="404" customFormat="false" ht="15" hidden="false" customHeight="false" outlineLevel="0" collapsed="false">
      <c r="A404" s="123" t="s">
        <v>3631</v>
      </c>
      <c r="B404" s="126" t="n">
        <f aca="false">$B$401</f>
        <v>1225.825</v>
      </c>
      <c r="C404" s="0" t="s">
        <v>3626</v>
      </c>
      <c r="H404" s="10" t="s">
        <v>3818</v>
      </c>
    </row>
    <row r="405" customFormat="false" ht="15" hidden="false" customHeight="false" outlineLevel="0" collapsed="false">
      <c r="A405" s="123" t="s">
        <v>3633</v>
      </c>
      <c r="B405" s="125" t="n">
        <v>0.75</v>
      </c>
    </row>
    <row r="406" customFormat="false" ht="15" hidden="false" customHeight="false" outlineLevel="0" collapsed="false">
      <c r="A406" s="17" t="s">
        <v>3471</v>
      </c>
      <c r="B406" s="126" t="n">
        <v>1634.4</v>
      </c>
      <c r="C406" s="0" t="s">
        <v>3626</v>
      </c>
      <c r="D406" s="123" t="s">
        <v>3634</v>
      </c>
      <c r="E406" s="127" t="n">
        <v>1634.4</v>
      </c>
      <c r="F406" s="127" t="n">
        <f aca="false">B406-E406</f>
        <v>0</v>
      </c>
      <c r="G406" s="0" t="s">
        <v>3626</v>
      </c>
      <c r="H406" s="27" t="s">
        <v>3819</v>
      </c>
    </row>
    <row r="408" customFormat="false" ht="15" hidden="false" customHeight="false" outlineLevel="0" collapsed="false">
      <c r="A408" s="17" t="s">
        <v>3636</v>
      </c>
      <c r="D408" s="123" t="s">
        <v>3637</v>
      </c>
    </row>
    <row r="409" customFormat="false" ht="15" hidden="false" customHeight="false" outlineLevel="0" collapsed="false">
      <c r="A409" s="123" t="s">
        <v>3638</v>
      </c>
      <c r="B409" s="126" t="n">
        <f aca="false">$B$406</f>
        <v>1634.4</v>
      </c>
      <c r="C409" s="0" t="s">
        <v>3626</v>
      </c>
      <c r="H409" s="10" t="s">
        <v>3820</v>
      </c>
    </row>
    <row r="410" customFormat="false" ht="15" hidden="false" customHeight="false" outlineLevel="0" collapsed="false">
      <c r="A410" s="123" t="s">
        <v>3640</v>
      </c>
      <c r="B410" s="125" t="n">
        <v>0.85</v>
      </c>
    </row>
    <row r="411" customFormat="false" ht="15" hidden="false" customHeight="false" outlineLevel="0" collapsed="false">
      <c r="A411" s="17" t="s">
        <v>3471</v>
      </c>
      <c r="B411" s="126" t="n">
        <v>1922.82352941177</v>
      </c>
      <c r="C411" s="0" t="s">
        <v>3626</v>
      </c>
      <c r="D411" s="123" t="s">
        <v>3641</v>
      </c>
      <c r="E411" s="127" t="n">
        <v>1922.9</v>
      </c>
      <c r="F411" s="127" t="n">
        <f aca="false">B411-E411</f>
        <v>-0.0764705882349972</v>
      </c>
      <c r="G411" s="0" t="s">
        <v>3626</v>
      </c>
      <c r="H411" s="27" t="s">
        <v>3821</v>
      </c>
    </row>
    <row r="414" customFormat="false" ht="15" hidden="false" customHeight="false" outlineLevel="0" collapsed="false">
      <c r="A414" s="8" t="s">
        <v>3822</v>
      </c>
      <c r="B414" s="8"/>
      <c r="C414" s="8"/>
      <c r="D414" s="8"/>
      <c r="E414" s="8"/>
      <c r="F414" s="8"/>
      <c r="G414" s="8"/>
      <c r="H414" s="8"/>
    </row>
    <row r="415" customFormat="false" ht="15" hidden="false" customHeight="false" outlineLevel="0" collapsed="false">
      <c r="A415" s="9" t="s">
        <v>3459</v>
      </c>
      <c r="B415" s="9" t="s">
        <v>3460</v>
      </c>
      <c r="C415" s="9" t="s">
        <v>15</v>
      </c>
      <c r="D415" s="9" t="s">
        <v>3461</v>
      </c>
      <c r="E415" s="9" t="s">
        <v>3462</v>
      </c>
      <c r="F415" s="9" t="s">
        <v>3463</v>
      </c>
      <c r="G415" s="9" t="s">
        <v>15</v>
      </c>
      <c r="H415" s="9" t="s">
        <v>3464</v>
      </c>
      <c r="I415" s="10" t="s">
        <v>20</v>
      </c>
    </row>
    <row r="416" customFormat="false" ht="15" hidden="false" customHeight="false" outlineLevel="0" collapsed="false">
      <c r="A416" s="17" t="s">
        <v>3823</v>
      </c>
      <c r="D416" s="123" t="s">
        <v>3824</v>
      </c>
      <c r="I416" s="16" t="str">
        <f aca="false">IF(AND(LEN(TRIM(A416&amp;""))&gt;0,TRIM(A416&amp;"")&lt;&gt;"—"),"PASS","⚠ FAIL — "&amp;"a required cell is empty/placeholder or wrong type")</f>
        <v>PASS</v>
      </c>
    </row>
    <row r="417" customFormat="false" ht="15" hidden="false" customHeight="false" outlineLevel="0" collapsed="false">
      <c r="A417" s="123" t="s">
        <v>3825</v>
      </c>
      <c r="B417" s="125" t="n">
        <v>90</v>
      </c>
      <c r="I417" s="16" t="str">
        <f aca="false">IF(AND(LEN(TRIM(A417&amp;""))&gt;0,TRIM(A417&amp;"")&lt;&gt;"—"),"PASS","⚠ FAIL — "&amp;"a required cell is empty/placeholder or wrong type")</f>
        <v>PASS</v>
      </c>
    </row>
    <row r="418" customFormat="false" ht="15" hidden="false" customHeight="false" outlineLevel="0" collapsed="false">
      <c r="A418" s="123" t="s">
        <v>3826</v>
      </c>
      <c r="B418" s="125" t="n">
        <v>8</v>
      </c>
      <c r="I418" s="16" t="str">
        <f aca="false">IF(AND(LEN(TRIM(A418&amp;""))&gt;0,TRIM(A418&amp;"")&lt;&gt;"—"),"PASS","⚠ FAIL — "&amp;"a required cell is empty/placeholder or wrong type")</f>
        <v>PASS</v>
      </c>
    </row>
    <row r="419" customFormat="false" ht="15" hidden="false" customHeight="false" outlineLevel="0" collapsed="false">
      <c r="A419" s="123" t="s">
        <v>3827</v>
      </c>
      <c r="B419" s="125" t="n">
        <v>2</v>
      </c>
      <c r="I419" s="16" t="str">
        <f aca="false">IF(AND(LEN(TRIM(A419&amp;""))&gt;0,TRIM(A419&amp;"")&lt;&gt;"—"),"PASS","⚠ FAIL — "&amp;"a required cell is empty/placeholder or wrong type")</f>
        <v>PASS</v>
      </c>
    </row>
    <row r="420" customFormat="false" ht="15" hidden="false" customHeight="false" outlineLevel="0" collapsed="false">
      <c r="A420" s="123" t="s">
        <v>3828</v>
      </c>
      <c r="B420" s="125" t="n">
        <v>1.2</v>
      </c>
      <c r="I420" s="16" t="str">
        <f aca="false">IF(AND(LEN(TRIM(A420&amp;""))&gt;0,TRIM(A420&amp;"")&lt;&gt;"—"),"PASS","⚠ FAIL — "&amp;"a required cell is empty/placeholder or wrong type")</f>
        <v>PASS</v>
      </c>
    </row>
    <row r="421" customFormat="false" ht="15" hidden="false" customHeight="false" outlineLevel="0" collapsed="false">
      <c r="A421" s="17" t="s">
        <v>3471</v>
      </c>
      <c r="B421" s="126" t="n">
        <v>196.8</v>
      </c>
      <c r="C421" s="0" t="s">
        <v>27</v>
      </c>
      <c r="D421" s="123" t="s">
        <v>3824</v>
      </c>
      <c r="E421" s="127" t="n">
        <v>196.8</v>
      </c>
      <c r="F421" s="127" t="n">
        <f aca="false">B421-E421</f>
        <v>0</v>
      </c>
      <c r="G421" s="0" t="s">
        <v>27</v>
      </c>
      <c r="I421" s="16" t="str">
        <f aca="false">IF(AND(LEN(TRIM(A421&amp;""))&gt;0,TRIM(A421&amp;"")&lt;&gt;"—"),"PASS","⚠ FAIL — "&amp;"a required cell is empty/placeholder or wrong type")</f>
        <v>PASS</v>
      </c>
    </row>
    <row r="423" customFormat="false" ht="15" hidden="false" customHeight="false" outlineLevel="0" collapsed="false">
      <c r="A423" s="17" t="s">
        <v>3829</v>
      </c>
      <c r="D423" s="123" t="s">
        <v>3830</v>
      </c>
    </row>
    <row r="424" customFormat="false" ht="15" hidden="false" customHeight="false" outlineLevel="0" collapsed="false">
      <c r="A424" s="123" t="s">
        <v>3825</v>
      </c>
      <c r="B424" s="125" t="n">
        <v>90</v>
      </c>
    </row>
    <row r="425" customFormat="false" ht="15" hidden="false" customHeight="false" outlineLevel="0" collapsed="false">
      <c r="A425" s="123" t="s">
        <v>3831</v>
      </c>
      <c r="B425" s="125" t="n">
        <v>0.3</v>
      </c>
    </row>
    <row r="426" customFormat="false" ht="15" hidden="false" customHeight="false" outlineLevel="0" collapsed="false">
      <c r="A426" s="123" t="s">
        <v>3827</v>
      </c>
      <c r="B426" s="125" t="n">
        <v>2</v>
      </c>
    </row>
    <row r="427" customFormat="false" ht="15" hidden="false" customHeight="false" outlineLevel="0" collapsed="false">
      <c r="A427" s="123" t="s">
        <v>3828</v>
      </c>
      <c r="B427" s="125" t="n">
        <v>1.2</v>
      </c>
    </row>
    <row r="428" customFormat="false" ht="15" hidden="false" customHeight="false" outlineLevel="0" collapsed="false">
      <c r="A428" s="17" t="s">
        <v>3471</v>
      </c>
      <c r="B428" s="126" t="n">
        <v>64.8</v>
      </c>
      <c r="C428" s="0" t="s">
        <v>27</v>
      </c>
      <c r="D428" s="123" t="s">
        <v>3830</v>
      </c>
      <c r="E428" s="127" t="n">
        <v>64.8</v>
      </c>
      <c r="F428" s="127" t="n">
        <f aca="false">B428-E428</f>
        <v>0</v>
      </c>
      <c r="G428" s="0" t="s">
        <v>27</v>
      </c>
    </row>
    <row r="431" customFormat="false" ht="15" hidden="false" customHeight="false" outlineLevel="0" collapsed="false">
      <c r="A431" s="8" t="s">
        <v>3832</v>
      </c>
      <c r="B431" s="8"/>
      <c r="C431" s="8"/>
      <c r="D431" s="8"/>
      <c r="E431" s="8"/>
      <c r="F431" s="8"/>
      <c r="G431" s="8"/>
      <c r="H431" s="8"/>
    </row>
    <row r="432" customFormat="false" ht="15" hidden="false" customHeight="false" outlineLevel="0" collapsed="false">
      <c r="A432" s="9" t="s">
        <v>3459</v>
      </c>
      <c r="B432" s="9" t="s">
        <v>3460</v>
      </c>
      <c r="C432" s="9" t="s">
        <v>15</v>
      </c>
      <c r="D432" s="9" t="s">
        <v>3461</v>
      </c>
      <c r="E432" s="9" t="s">
        <v>3462</v>
      </c>
      <c r="F432" s="9" t="s">
        <v>3463</v>
      </c>
      <c r="G432" s="9" t="s">
        <v>15</v>
      </c>
      <c r="H432" s="9" t="s">
        <v>3464</v>
      </c>
      <c r="I432" s="10" t="s">
        <v>20</v>
      </c>
    </row>
    <row r="433" customFormat="false" ht="15" hidden="false" customHeight="false" outlineLevel="0" collapsed="false">
      <c r="A433" s="17" t="s">
        <v>3833</v>
      </c>
      <c r="D433" s="123" t="s">
        <v>3834</v>
      </c>
      <c r="I433" s="16" t="str">
        <f aca="false">IF(AND(LEN(TRIM(A433&amp;""))&gt;0,TRIM(A433&amp;"")&lt;&gt;"—"),"PASS","⚠ FAIL — "&amp;"a required cell is empty/placeholder or wrong type")</f>
        <v>PASS</v>
      </c>
    </row>
    <row r="434" customFormat="false" ht="15" hidden="false" customHeight="false" outlineLevel="0" collapsed="false">
      <c r="A434" s="123" t="s">
        <v>3835</v>
      </c>
      <c r="B434" s="125" t="n">
        <v>192000</v>
      </c>
      <c r="C434" s="0" t="s">
        <v>3836</v>
      </c>
      <c r="I434" s="16" t="str">
        <f aca="false">IF(AND(LEN(TRIM(A434&amp;""))&gt;0,TRIM(A434&amp;"")&lt;&gt;"—"),"PASS","⚠ FAIL — "&amp;"a required cell is empty/placeholder or wrong type")</f>
        <v>PASS</v>
      </c>
    </row>
    <row r="435" customFormat="false" ht="15" hidden="false" customHeight="false" outlineLevel="0" collapsed="false">
      <c r="A435" s="123" t="s">
        <v>3837</v>
      </c>
      <c r="B435" s="125" t="n">
        <v>24</v>
      </c>
      <c r="C435" s="0" t="s">
        <v>3838</v>
      </c>
      <c r="I435" s="16" t="str">
        <f aca="false">IF(AND(LEN(TRIM(A435&amp;""))&gt;0,TRIM(A435&amp;"")&lt;&gt;"—"),"PASS","⚠ FAIL — "&amp;"a required cell is empty/placeholder or wrong type")</f>
        <v>PASS</v>
      </c>
    </row>
    <row r="436" customFormat="false" ht="15" hidden="false" customHeight="false" outlineLevel="0" collapsed="false">
      <c r="A436" s="17" t="s">
        <v>3471</v>
      </c>
      <c r="B436" s="126" t="n">
        <v>8000</v>
      </c>
      <c r="C436" s="0" t="s">
        <v>3839</v>
      </c>
      <c r="D436" s="123" t="s">
        <v>3840</v>
      </c>
      <c r="E436" s="127" t="n">
        <v>8000</v>
      </c>
      <c r="F436" s="127" t="n">
        <f aca="false">B436-E436</f>
        <v>0</v>
      </c>
      <c r="G436" s="0" t="s">
        <v>3839</v>
      </c>
      <c r="H436" s="27" t="s">
        <v>3841</v>
      </c>
      <c r="I436" s="16" t="str">
        <f aca="false">IF(AND(LEN(TRIM(A436&amp;""))&gt;0,TRIM(A436&amp;"")&lt;&gt;"—"),"PASS","⚠ FAIL — "&amp;"a required cell is empty/placeholder or wrong type")</f>
        <v>PASS</v>
      </c>
    </row>
    <row r="438" customFormat="false" ht="15" hidden="false" customHeight="false" outlineLevel="0" collapsed="false">
      <c r="A438" s="17" t="s">
        <v>3842</v>
      </c>
      <c r="D438" s="123" t="s">
        <v>3843</v>
      </c>
    </row>
    <row r="439" customFormat="false" ht="15" hidden="false" customHeight="false" outlineLevel="0" collapsed="false">
      <c r="A439" s="123" t="s">
        <v>3844</v>
      </c>
      <c r="B439" s="126" t="n">
        <f aca="false">$B$436</f>
        <v>8000</v>
      </c>
      <c r="C439" s="0" t="s">
        <v>3839</v>
      </c>
      <c r="H439" s="10" t="s">
        <v>3845</v>
      </c>
    </row>
    <row r="440" customFormat="false" ht="15" hidden="false" customHeight="false" outlineLevel="0" collapsed="false">
      <c r="A440" s="123" t="s">
        <v>3846</v>
      </c>
      <c r="B440" s="125" t="n">
        <v>0.75</v>
      </c>
    </row>
    <row r="441" customFormat="false" ht="15" hidden="false" customHeight="false" outlineLevel="0" collapsed="false">
      <c r="A441" s="17" t="s">
        <v>3471</v>
      </c>
      <c r="B441" s="126" t="n">
        <v>10666.6666666667</v>
      </c>
      <c r="C441" s="0" t="s">
        <v>3839</v>
      </c>
      <c r="D441" s="123" t="s">
        <v>3847</v>
      </c>
      <c r="E441" s="127" t="n">
        <v>10666.7</v>
      </c>
      <c r="F441" s="127" t="n">
        <f aca="false">B441-E441</f>
        <v>-0.0333333333310293</v>
      </c>
      <c r="G441" s="0" t="s">
        <v>3839</v>
      </c>
      <c r="H441" s="27" t="s">
        <v>3848</v>
      </c>
    </row>
    <row r="443" customFormat="false" ht="15" hidden="false" customHeight="false" outlineLevel="0" collapsed="false">
      <c r="A443" s="17" t="s">
        <v>3849</v>
      </c>
      <c r="D443" s="123" t="s">
        <v>3850</v>
      </c>
    </row>
    <row r="444" customFormat="false" ht="15" hidden="false" customHeight="false" outlineLevel="0" collapsed="false">
      <c r="A444" s="123" t="s">
        <v>3851</v>
      </c>
      <c r="B444" s="126" t="n">
        <f aca="false">$B$441</f>
        <v>10666.6666666667</v>
      </c>
      <c r="C444" s="0" t="s">
        <v>3839</v>
      </c>
      <c r="H444" s="10" t="s">
        <v>3852</v>
      </c>
    </row>
    <row r="445" customFormat="false" ht="15" hidden="false" customHeight="false" outlineLevel="0" collapsed="false">
      <c r="A445" s="123" t="s">
        <v>3844</v>
      </c>
      <c r="B445" s="126" t="n">
        <f aca="false">$B$436</f>
        <v>8000</v>
      </c>
      <c r="C445" s="0" t="s">
        <v>3839</v>
      </c>
      <c r="H445" s="10" t="s">
        <v>3845</v>
      </c>
    </row>
    <row r="446" customFormat="false" ht="15" hidden="false" customHeight="false" outlineLevel="0" collapsed="false">
      <c r="A446" s="17" t="s">
        <v>3471</v>
      </c>
      <c r="B446" s="126" t="n">
        <v>2666.7</v>
      </c>
      <c r="C446" s="0" t="s">
        <v>3839</v>
      </c>
      <c r="D446" s="123" t="s">
        <v>3853</v>
      </c>
      <c r="E446" s="127" t="n">
        <v>2666.7</v>
      </c>
      <c r="F446" s="127" t="n">
        <f aca="false">B446-E446</f>
        <v>0</v>
      </c>
      <c r="G446" s="0" t="s">
        <v>3839</v>
      </c>
      <c r="H446" s="27" t="s">
        <v>3854</v>
      </c>
    </row>
    <row r="448" customFormat="false" ht="15" hidden="false" customHeight="false" outlineLevel="0" collapsed="false">
      <c r="A448" s="17" t="s">
        <v>3855</v>
      </c>
      <c r="D448" s="123" t="s">
        <v>3856</v>
      </c>
    </row>
    <row r="449" customFormat="false" ht="15" hidden="false" customHeight="false" outlineLevel="0" collapsed="false">
      <c r="A449" s="123" t="s">
        <v>3844</v>
      </c>
      <c r="B449" s="126" t="n">
        <f aca="false">$B$436</f>
        <v>8000</v>
      </c>
      <c r="C449" s="0" t="s">
        <v>3839</v>
      </c>
      <c r="H449" s="10" t="s">
        <v>3845</v>
      </c>
    </row>
    <row r="450" customFormat="false" ht="15" hidden="false" customHeight="false" outlineLevel="0" collapsed="false">
      <c r="A450" s="123" t="s">
        <v>3857</v>
      </c>
      <c r="B450" s="125" t="n">
        <v>22</v>
      </c>
      <c r="C450" s="0" t="s">
        <v>3858</v>
      </c>
    </row>
    <row r="451" customFormat="false" ht="15" hidden="false" customHeight="false" outlineLevel="0" collapsed="false">
      <c r="A451" s="17" t="s">
        <v>3471</v>
      </c>
      <c r="B451" s="126" t="n">
        <v>363.636363636364</v>
      </c>
      <c r="C451" s="0" t="s">
        <v>3021</v>
      </c>
      <c r="D451" s="123" t="s">
        <v>3859</v>
      </c>
      <c r="E451" s="127" t="n">
        <v>363.64</v>
      </c>
      <c r="F451" s="127" t="n">
        <f aca="false">B451-E451</f>
        <v>-0.00363636363636033</v>
      </c>
      <c r="G451" s="0" t="s">
        <v>3021</v>
      </c>
      <c r="H451" s="27" t="s">
        <v>3860</v>
      </c>
    </row>
    <row r="453" customFormat="false" ht="15" hidden="false" customHeight="false" outlineLevel="0" collapsed="false">
      <c r="A453" s="17" t="s">
        <v>3861</v>
      </c>
      <c r="D453" s="123" t="s">
        <v>3862</v>
      </c>
    </row>
    <row r="454" customFormat="false" ht="15" hidden="false" customHeight="false" outlineLevel="0" collapsed="false">
      <c r="A454" s="123" t="s">
        <v>3863</v>
      </c>
      <c r="B454" s="125" t="n">
        <v>12</v>
      </c>
      <c r="C454" s="0" t="s">
        <v>3167</v>
      </c>
    </row>
    <row r="455" customFormat="false" ht="15" hidden="false" customHeight="false" outlineLevel="0" collapsed="false">
      <c r="A455" s="123" t="s">
        <v>3864</v>
      </c>
      <c r="B455" s="125" t="n">
        <v>10.6667</v>
      </c>
      <c r="C455" s="0" t="s">
        <v>33</v>
      </c>
    </row>
    <row r="456" customFormat="false" ht="15" hidden="false" customHeight="false" outlineLevel="0" collapsed="false">
      <c r="A456" s="123" t="s">
        <v>3633</v>
      </c>
      <c r="B456" s="125" t="n">
        <v>0.7</v>
      </c>
    </row>
    <row r="457" customFormat="false" ht="15" hidden="false" customHeight="false" outlineLevel="0" collapsed="false">
      <c r="A457" s="17" t="s">
        <v>3471</v>
      </c>
      <c r="B457" s="126" t="n">
        <v>5.07938095238095</v>
      </c>
      <c r="C457" s="0" t="s">
        <v>1588</v>
      </c>
      <c r="D457" s="123" t="s">
        <v>3865</v>
      </c>
      <c r="E457" s="127" t="n">
        <v>5.0794</v>
      </c>
      <c r="F457" s="127" t="n">
        <f aca="false">B457-E457</f>
        <v>-1.9047619046475E-005</v>
      </c>
      <c r="G457" s="0" t="s">
        <v>1588</v>
      </c>
      <c r="H457" s="27" t="s">
        <v>3866</v>
      </c>
    </row>
    <row r="459" customFormat="false" ht="15" hidden="false" customHeight="false" outlineLevel="0" collapsed="false">
      <c r="A459" s="17" t="s">
        <v>3867</v>
      </c>
      <c r="D459" s="123" t="s">
        <v>3868</v>
      </c>
    </row>
    <row r="460" customFormat="false" ht="15" hidden="false" customHeight="false" outlineLevel="0" collapsed="false">
      <c r="A460" s="123" t="s">
        <v>3869</v>
      </c>
      <c r="B460" s="126" t="n">
        <f aca="false">$B$457</f>
        <v>5.07938095238095</v>
      </c>
      <c r="C460" s="0" t="s">
        <v>1588</v>
      </c>
      <c r="H460" s="10" t="s">
        <v>3870</v>
      </c>
    </row>
    <row r="461" customFormat="false" ht="15" hidden="false" customHeight="false" outlineLevel="0" collapsed="false">
      <c r="A461" s="123" t="s">
        <v>3844</v>
      </c>
      <c r="B461" s="126" t="n">
        <f aca="false">$B$436</f>
        <v>8000</v>
      </c>
      <c r="C461" s="0" t="s">
        <v>3839</v>
      </c>
      <c r="H461" s="10" t="s">
        <v>3845</v>
      </c>
    </row>
    <row r="462" customFormat="false" ht="15" hidden="false" customHeight="false" outlineLevel="0" collapsed="false">
      <c r="A462" s="17" t="s">
        <v>3471</v>
      </c>
      <c r="B462" s="126" t="n">
        <v>0.634925</v>
      </c>
      <c r="C462" s="0" t="s">
        <v>3871</v>
      </c>
      <c r="D462" s="123" t="s">
        <v>3872</v>
      </c>
      <c r="E462" s="127" t="n">
        <v>0.635</v>
      </c>
      <c r="F462" s="127" t="n">
        <f aca="false">B462-E462</f>
        <v>-7.50000000000473E-005</v>
      </c>
      <c r="G462" s="0" t="s">
        <v>3871</v>
      </c>
      <c r="H462" s="27" t="s">
        <v>3873</v>
      </c>
    </row>
  </sheetData>
  <mergeCells count="21">
    <mergeCell ref="A1:H1"/>
    <mergeCell ref="A2:H2"/>
    <mergeCell ref="A3:H3"/>
    <mergeCell ref="A4:H4"/>
    <mergeCell ref="A12:H12"/>
    <mergeCell ref="A54:H54"/>
    <mergeCell ref="A56:H56"/>
    <mergeCell ref="A64:H64"/>
    <mergeCell ref="A89:H89"/>
    <mergeCell ref="A115:H115"/>
    <mergeCell ref="A142:H142"/>
    <mergeCell ref="A160:H160"/>
    <mergeCell ref="A190:H190"/>
    <mergeCell ref="A209:H209"/>
    <mergeCell ref="A242:H242"/>
    <mergeCell ref="A269:H269"/>
    <mergeCell ref="A282:H282"/>
    <mergeCell ref="A310:H310"/>
    <mergeCell ref="A354:H354"/>
    <mergeCell ref="A414:H414"/>
    <mergeCell ref="A431:H431"/>
  </mergeCells>
  <conditionalFormatting sqref="G16:G52">
    <cfRule type="cellIs" priority="2" operator="equal" aboveAverage="0" equalAverage="0" bottom="0" percent="0" rank="0" text="" dxfId="0">
      <formula>"ORPHANED"</formula>
    </cfRule>
    <cfRule type="cellIs" priority="3" operator="equal" aboveAverage="0" equalAverage="0" bottom="0" percent="0" rank="0" text="" dxfId="0">
      <formula>"STALE"</formula>
    </cfRule>
    <cfRule type="cellIs" priority="4" operator="equal" aboveAverage="0" equalAverage="0" bottom="0" percent="0" rank="0" text="" dxfId="1">
      <formula>"USED"</formula>
    </cfRule>
    <cfRule type="cellIs" priority="5" operator="equal" aboveAverage="0" equalAverage="0" bottom="0" percent="0" rank="0" text="" dxfId="1">
      <formula>"TRACED"</formula>
    </cfRule>
  </conditionalFormatting>
  <hyperlinks>
    <hyperlink ref="I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7F7F"/>
    <pageSetUpPr fitToPage="false"/>
  </sheetPr>
  <dimension ref="A1:E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4"/>
    <col collapsed="false" customWidth="true" hidden="false" outlineLevel="0" max="2" min="2" style="0" width="14"/>
    <col collapsed="false" customWidth="true" hidden="false" outlineLevel="0" max="3" min="3" style="0" width="12"/>
    <col collapsed="false" customWidth="true" hidden="false" outlineLevel="0" max="4" min="4" style="0" width="74"/>
    <col collapsed="false" customWidth="true" hidden="false" outlineLevel="0" max="5" min="5" style="0" width="13"/>
  </cols>
  <sheetData>
    <row r="1" customFormat="false" ht="25.5" hidden="false" customHeight="true" outlineLevel="0" collapsed="false">
      <c r="A1" s="1" t="s">
        <v>3874</v>
      </c>
      <c r="B1" s="1"/>
      <c r="C1" s="1"/>
      <c r="D1" s="1"/>
      <c r="E1" s="24" t="s">
        <v>140</v>
      </c>
    </row>
    <row r="2" customFormat="false" ht="30" hidden="false" customHeight="true" outlineLevel="0" collapsed="false">
      <c r="A2" s="2" t="str">
        <f aca="false">"⬤ TAB QUALITY "&amp;IF(ISNUMBER('Quality &amp; Audit'!$B$53),IF('Quality &amp; Audit'!$B$53=INT('Quality &amp; Audit'!$B$53),TEXT('Quality &amp; Audit'!$B$53,"0"),TEXT('Quality &amp; Audit'!$B$53,"0.0")),"—")&amp;"/10 · "&amp;IF(ISNUMBER('Quality &amp; Audit'!$B$53),IF('Quality &amp; Audit'!$B$53&gt;=8,"PASS","FAIL"),"UNSCORED")&amp;" (target ≥8, live from the Quality &amp; Audit score cell)"&amp;" · driver integrity (every input driver consumed by a live formula) — drivers referenced by a live formula somewhere 18/18; cell completeness+type contract 54/54 · score = …"&amp;" · full audit: Quality &amp; Audit tab"</f>
        <v>⬤ TAB QUALITY 10/10 · PASS (target ≥8, live from the Quality &amp; Audit score cell) · driver integrity (every input driver consumed by a live formula) — drivers referenced by a live formula somewhere 18/18; cell completeness+type contract 54/54 · score = … · full audit: Quality &amp; Audit tab</v>
      </c>
      <c r="B2" s="2"/>
      <c r="C2" s="2"/>
      <c r="D2" s="2"/>
    </row>
    <row r="3" customFormat="false" ht="40.5" hidden="false" customHeight="true" outlineLevel="0" collapsed="false">
      <c r="A3" s="3" t="s">
        <v>3875</v>
      </c>
      <c r="B3" s="3"/>
      <c r="C3" s="3"/>
      <c r="D3" s="3"/>
    </row>
    <row r="4" customFormat="false" ht="15" hidden="false" customHeight="false" outlineLevel="0" collapsed="false">
      <c r="A4" s="9" t="s">
        <v>329</v>
      </c>
      <c r="B4" s="9" t="s">
        <v>160</v>
      </c>
      <c r="C4" s="9" t="s">
        <v>15</v>
      </c>
      <c r="D4" s="9" t="s">
        <v>3876</v>
      </c>
      <c r="E4" s="10" t="s">
        <v>20</v>
      </c>
    </row>
    <row r="5" customFormat="false" ht="15" hidden="false" customHeight="false" outlineLevel="0" collapsed="false">
      <c r="A5" s="17" t="s">
        <v>3877</v>
      </c>
      <c r="B5" s="37" t="n">
        <v>6000</v>
      </c>
      <c r="C5" s="11" t="s">
        <v>22</v>
      </c>
      <c r="D5" s="15" t="s">
        <v>3878</v>
      </c>
      <c r="E5" s="16" t="str">
        <f aca="false">IF(AND(LEN(TRIM(A5&amp;""))&gt;0,TRIM(A5&amp;"")&lt;&gt;"—",LEN(TRIM(B5&amp;""))&gt;0,TRIM(B5&amp;"")&lt;&gt;"—",LEN(TRIM(D5&amp;""))&gt;0,TRIM(D5&amp;"")&lt;&gt;"—"),"PASS","⚠ FAIL — "&amp;"a required cell is empty/placeholder or wrong type")</f>
        <v>PASS</v>
      </c>
    </row>
    <row r="6" customFormat="false" ht="22.35" hidden="false" customHeight="false" outlineLevel="0" collapsed="false">
      <c r="A6" s="17" t="s">
        <v>3879</v>
      </c>
      <c r="B6" s="131" t="n">
        <v>0</v>
      </c>
      <c r="C6" s="11" t="s">
        <v>3880</v>
      </c>
      <c r="D6" s="15" t="s">
        <v>3881</v>
      </c>
      <c r="E6" s="16" t="str">
        <f aca="false">IF(AND(LEN(TRIM(A6&amp;""))&gt;0,TRIM(A6&amp;"")&lt;&gt;"—",LEN(TRIM(B6&amp;""))&gt;0,TRIM(B6&amp;"")&lt;&gt;"—",LEN(TRIM(D6&amp;""))&gt;0,TRIM(D6&amp;"")&lt;&gt;"—"),"PASS","⚠ FAIL — "&amp;"a required cell is empty/placeholder or wrong type")</f>
        <v>PASS</v>
      </c>
    </row>
    <row r="7" customFormat="false" ht="32.8" hidden="false" customHeight="false" outlineLevel="0" collapsed="false">
      <c r="A7" s="17" t="s">
        <v>363</v>
      </c>
      <c r="B7" s="131" t="n">
        <v>0</v>
      </c>
      <c r="C7" s="11" t="s">
        <v>3880</v>
      </c>
      <c r="D7" s="15" t="s">
        <v>3882</v>
      </c>
      <c r="E7" s="16" t="str">
        <f aca="false">IF(AND(LEN(TRIM(A7&amp;""))&gt;0,TRIM(A7&amp;"")&lt;&gt;"—",LEN(TRIM(B7&amp;""))&gt;0,TRIM(B7&amp;"")&lt;&gt;"—",LEN(TRIM(D7&amp;""))&gt;0,TRIM(D7&amp;"")&lt;&gt;"—"),"PASS","⚠ FAIL — "&amp;"a required cell is empty/placeholder or wrong type")</f>
        <v>PASS</v>
      </c>
    </row>
    <row r="8" customFormat="false" ht="15" hidden="false" customHeight="false" outlineLevel="0" collapsed="false">
      <c r="A8" s="17" t="s">
        <v>364</v>
      </c>
      <c r="B8" s="37" t="n">
        <v>0</v>
      </c>
      <c r="C8" s="11" t="s">
        <v>3883</v>
      </c>
      <c r="D8" s="15" t="s">
        <v>3884</v>
      </c>
      <c r="E8" s="16" t="str">
        <f aca="false">IF(AND(LEN(TRIM(A8&amp;""))&gt;0,TRIM(A8&amp;"")&lt;&gt;"—",LEN(TRIM(B8&amp;""))&gt;0,TRIM(B8&amp;"")&lt;&gt;"—",LEN(TRIM(D8&amp;""))&gt;0,TRIM(D8&amp;"")&lt;&gt;"—"),"PASS","⚠ FAIL — "&amp;"a required cell is empty/placeholder or wrong type")</f>
        <v>PASS</v>
      </c>
    </row>
    <row r="9" customFormat="false" ht="15" hidden="false" customHeight="false" outlineLevel="0" collapsed="false">
      <c r="A9" s="17" t="s">
        <v>365</v>
      </c>
      <c r="B9" s="131" t="n">
        <v>0.15</v>
      </c>
      <c r="C9" s="11" t="s">
        <v>3885</v>
      </c>
      <c r="D9" s="15" t="s">
        <v>3886</v>
      </c>
      <c r="E9" s="16" t="str">
        <f aca="false">IF(AND(LEN(TRIM(A9&amp;""))&gt;0,TRIM(A9&amp;"")&lt;&gt;"—",LEN(TRIM(B9&amp;""))&gt;0,TRIM(B9&amp;"")&lt;&gt;"—",LEN(TRIM(D9&amp;""))&gt;0,TRIM(D9&amp;"")&lt;&gt;"—"),"PASS","⚠ FAIL — "&amp;"a required cell is empty/placeholder or wrong type")</f>
        <v>PASS</v>
      </c>
    </row>
    <row r="10" customFormat="false" ht="15" hidden="false" customHeight="false" outlineLevel="0" collapsed="false">
      <c r="A10" s="17" t="s">
        <v>3887</v>
      </c>
      <c r="B10" s="58" t="n">
        <v>53</v>
      </c>
      <c r="C10" s="11" t="s">
        <v>1588</v>
      </c>
      <c r="D10" s="15" t="s">
        <v>3888</v>
      </c>
      <c r="E10" s="16" t="str">
        <f aca="false">IF(AND(LEN(TRIM(A10&amp;""))&gt;0,TRIM(A10&amp;"")&lt;&gt;"—",LEN(TRIM(B10&amp;""))&gt;0,TRIM(B10&amp;"")&lt;&gt;"—",LEN(TRIM(D10&amp;""))&gt;0,TRIM(D10&amp;"")&lt;&gt;"—"),"PASS","⚠ FAIL — "&amp;"a required cell is empty/placeholder or wrong type")</f>
        <v>PASS</v>
      </c>
    </row>
    <row r="11" customFormat="false" ht="15" hidden="false" customHeight="false" outlineLevel="0" collapsed="false">
      <c r="A11" s="17" t="s">
        <v>3889</v>
      </c>
      <c r="B11" s="37" t="n">
        <v>0.65</v>
      </c>
      <c r="C11" s="11" t="s">
        <v>3890</v>
      </c>
      <c r="D11" s="15" t="s">
        <v>3891</v>
      </c>
      <c r="E11" s="16" t="str">
        <f aca="false">IF(AND(LEN(TRIM(A11&amp;""))&gt;0,TRIM(A11&amp;"")&lt;&gt;"—",LEN(TRIM(B11&amp;""))&gt;0,TRIM(B11&amp;"")&lt;&gt;"—",LEN(TRIM(D11&amp;""))&gt;0,TRIM(D11&amp;"")&lt;&gt;"—"),"PASS","⚠ FAIL — "&amp;"a required cell is empty/placeholder or wrong type")</f>
        <v>PASS</v>
      </c>
    </row>
    <row r="12" customFormat="false" ht="15" hidden="false" customHeight="false" outlineLevel="0" collapsed="false">
      <c r="A12" s="17" t="s">
        <v>3892</v>
      </c>
      <c r="B12" s="132" t="n">
        <v>8000</v>
      </c>
      <c r="C12" s="11" t="s">
        <v>1600</v>
      </c>
      <c r="D12" s="15" t="s">
        <v>3893</v>
      </c>
      <c r="E12" s="16" t="str">
        <f aca="false">IF(AND(LEN(TRIM(A12&amp;""))&gt;0,TRIM(A12&amp;"")&lt;&gt;"—",LEN(TRIM(B12&amp;""))&gt;0,TRIM(B12&amp;"")&lt;&gt;"—",LEN(TRIM(D12&amp;""))&gt;0,TRIM(D12&amp;"")&lt;&gt;"—"),"PASS","⚠ FAIL — "&amp;"a required cell is empty/placeholder or wrong type")</f>
        <v>PASS</v>
      </c>
    </row>
    <row r="13" customFormat="false" ht="22.35" hidden="false" customHeight="false" outlineLevel="0" collapsed="false">
      <c r="A13" s="17" t="s">
        <v>3894</v>
      </c>
      <c r="B13" s="58" t="n">
        <v>90</v>
      </c>
      <c r="C13" s="11" t="s">
        <v>163</v>
      </c>
      <c r="D13" s="15" t="s">
        <v>3895</v>
      </c>
      <c r="E13" s="16" t="str">
        <f aca="false">IF(AND(LEN(TRIM(A13&amp;""))&gt;0,TRIM(A13&amp;"")&lt;&gt;"—",LEN(TRIM(B13&amp;""))&gt;0,TRIM(B13&amp;"")&lt;&gt;"—",LEN(TRIM(D13&amp;""))&gt;0,TRIM(D13&amp;"")&lt;&gt;"—"),"PASS","⚠ FAIL — "&amp;"a required cell is empty/placeholder or wrong type")</f>
        <v>PASS</v>
      </c>
    </row>
    <row r="14" customFormat="false" ht="53.7" hidden="false" customHeight="false" outlineLevel="0" collapsed="false">
      <c r="A14" s="17" t="s">
        <v>3896</v>
      </c>
      <c r="B14" s="37" t="n">
        <v>0.25</v>
      </c>
      <c r="C14" s="11" t="s">
        <v>3897</v>
      </c>
      <c r="D14" s="15" t="s">
        <v>3898</v>
      </c>
      <c r="E14" s="16" t="str">
        <f aca="false">IF(AND(LEN(TRIM(A14&amp;""))&gt;0,TRIM(A14&amp;"")&lt;&gt;"—",LEN(TRIM(B14&amp;""))&gt;0,TRIM(B14&amp;"")&lt;&gt;"—",LEN(TRIM(D14&amp;""))&gt;0,TRIM(D14&amp;"")&lt;&gt;"—"),"PASS","⚠ FAIL — "&amp;"a required cell is empty/placeholder or wrong type")</f>
        <v>PASS</v>
      </c>
    </row>
    <row r="15" customFormat="false" ht="32.8" hidden="false" customHeight="false" outlineLevel="0" collapsed="false">
      <c r="A15" s="17" t="s">
        <v>303</v>
      </c>
      <c r="B15" s="33" t="n">
        <v>25000</v>
      </c>
      <c r="C15" s="11" t="s">
        <v>297</v>
      </c>
      <c r="D15" s="15" t="s">
        <v>3899</v>
      </c>
      <c r="E15" s="16" t="str">
        <f aca="false">IF(AND(LEN(TRIM(A15&amp;""))&gt;0,TRIM(A15&amp;"")&lt;&gt;"—",LEN(TRIM(B15&amp;""))&gt;0,TRIM(B15&amp;"")&lt;&gt;"—",LEN(TRIM(D15&amp;""))&gt;0,TRIM(D15&amp;"")&lt;&gt;"—"),"PASS","⚠ FAIL — "&amp;"a required cell is empty/placeholder or wrong type")</f>
        <v>PASS</v>
      </c>
    </row>
    <row r="16" customFormat="false" ht="15" hidden="false" customHeight="false" outlineLevel="0" collapsed="false">
      <c r="A16" s="17" t="s">
        <v>305</v>
      </c>
      <c r="B16" s="58" t="n">
        <v>3</v>
      </c>
      <c r="C16" s="11" t="s">
        <v>3900</v>
      </c>
      <c r="D16" s="15" t="s">
        <v>3901</v>
      </c>
      <c r="E16" s="16" t="str">
        <f aca="false">IF(AND(LEN(TRIM(A16&amp;""))&gt;0,TRIM(A16&amp;"")&lt;&gt;"—",LEN(TRIM(B16&amp;""))&gt;0,TRIM(B16&amp;"")&lt;&gt;"—",LEN(TRIM(D16&amp;""))&gt;0,TRIM(D16&amp;"")&lt;&gt;"—"),"PASS","⚠ FAIL — "&amp;"a required cell is empty/placeholder or wrong type")</f>
        <v>PASS</v>
      </c>
    </row>
    <row r="17" customFormat="false" ht="22.35" hidden="false" customHeight="false" outlineLevel="0" collapsed="false">
      <c r="A17" s="17" t="s">
        <v>307</v>
      </c>
      <c r="B17" s="33" t="n">
        <v>27502</v>
      </c>
      <c r="C17" s="11" t="s">
        <v>297</v>
      </c>
      <c r="D17" s="15" t="s">
        <v>3902</v>
      </c>
      <c r="E17" s="16" t="str">
        <f aca="false">IF(AND(LEN(TRIM(A17&amp;""))&gt;0,TRIM(A17&amp;"")&lt;&gt;"—",LEN(TRIM(B17&amp;""))&gt;0,TRIM(B17&amp;"")&lt;&gt;"—",LEN(TRIM(D17&amp;""))&gt;0,TRIM(D17&amp;"")&lt;&gt;"—"),"PASS","⚠ FAIL — "&amp;"a required cell is empty/placeholder or wrong type")</f>
        <v>PASS</v>
      </c>
    </row>
    <row r="18" customFormat="false" ht="15" hidden="false" customHeight="false" outlineLevel="0" collapsed="false">
      <c r="A18" s="17" t="s">
        <v>3903</v>
      </c>
      <c r="B18" s="33" t="n">
        <v>1375105</v>
      </c>
      <c r="C18" s="11" t="s">
        <v>3904</v>
      </c>
      <c r="D18" s="15" t="s">
        <v>3905</v>
      </c>
      <c r="E18" s="16" t="str">
        <f aca="false">IF(AND(LEN(TRIM(A18&amp;""))&gt;0,TRIM(A18&amp;"")&lt;&gt;"—",LEN(TRIM(B18&amp;""))&gt;0,TRIM(B18&amp;"")&lt;&gt;"—",LEN(TRIM(D18&amp;""))&gt;0,TRIM(D18&amp;"")&lt;&gt;"—"),"PASS","⚠ FAIL — "&amp;"a required cell is empty/placeholder or wrong type")</f>
        <v>PASS</v>
      </c>
    </row>
    <row r="19" customFormat="false" ht="43.25" hidden="false" customHeight="false" outlineLevel="0" collapsed="false">
      <c r="A19" s="17" t="s">
        <v>3906</v>
      </c>
      <c r="B19" s="37" t="n">
        <v>1</v>
      </c>
      <c r="C19" s="11" t="s">
        <v>3907</v>
      </c>
      <c r="D19" s="15" t="s">
        <v>3908</v>
      </c>
      <c r="E19" s="16" t="str">
        <f aca="false">IF(AND(LEN(TRIM(A19&amp;""))&gt;0,TRIM(A19&amp;"")&lt;&gt;"—",LEN(TRIM(B19&amp;""))&gt;0,TRIM(B19&amp;"")&lt;&gt;"—",LEN(TRIM(D19&amp;""))&gt;0,TRIM(D19&amp;"")&lt;&gt;"—"),"PASS","⚠ FAIL — "&amp;"a required cell is empty/placeholder or wrong type")</f>
        <v>PASS</v>
      </c>
    </row>
    <row r="20" customFormat="false" ht="15" hidden="false" customHeight="false" outlineLevel="0" collapsed="false">
      <c r="A20" s="17" t="s">
        <v>3909</v>
      </c>
      <c r="B20" s="58" t="n">
        <v>10</v>
      </c>
      <c r="C20" s="11" t="s">
        <v>42</v>
      </c>
      <c r="D20" s="15" t="s">
        <v>3910</v>
      </c>
      <c r="E20" s="16" t="str">
        <f aca="false">IF(AND(LEN(TRIM(A20&amp;""))&gt;0,TRIM(A20&amp;"")&lt;&gt;"—",LEN(TRIM(B20&amp;""))&gt;0,TRIM(B20&amp;"")&lt;&gt;"—",LEN(TRIM(D20&amp;""))&gt;0,TRIM(D20&amp;"")&lt;&gt;"—"),"PASS","⚠ FAIL — "&amp;"a required cell is empty/placeholder or wrong type")</f>
        <v>PASS</v>
      </c>
    </row>
    <row r="21" customFormat="false" ht="22.35" hidden="false" customHeight="false" outlineLevel="0" collapsed="false">
      <c r="A21" s="17" t="s">
        <v>3911</v>
      </c>
      <c r="B21" s="58" t="n">
        <v>15</v>
      </c>
      <c r="C21" s="11" t="s">
        <v>42</v>
      </c>
      <c r="D21" s="15" t="s">
        <v>3912</v>
      </c>
      <c r="E21" s="16" t="str">
        <f aca="false">IF(AND(LEN(TRIM(A21&amp;""))&gt;0,TRIM(A21&amp;"")&lt;&gt;"—",LEN(TRIM(B21&amp;""))&gt;0,TRIM(B21&amp;"")&lt;&gt;"—",LEN(TRIM(D21&amp;""))&gt;0,TRIM(D21&amp;"")&lt;&gt;"—"),"PASS","⚠ FAIL — "&amp;"a required cell is empty/placeholder or wrong type")</f>
        <v>PASS</v>
      </c>
    </row>
    <row r="22" customFormat="false" ht="15" hidden="false" customHeight="false" outlineLevel="0" collapsed="false">
      <c r="A22" s="17" t="s">
        <v>3913</v>
      </c>
      <c r="B22" s="58" t="n">
        <v>20</v>
      </c>
      <c r="C22" s="11" t="s">
        <v>316</v>
      </c>
      <c r="D22" s="15" t="s">
        <v>3914</v>
      </c>
      <c r="E22" s="16" t="str">
        <f aca="false">IF(AND(LEN(TRIM(A22&amp;""))&gt;0,TRIM(A22&amp;"")&lt;&gt;"—",LEN(TRIM(B22&amp;""))&gt;0,TRIM(B22&amp;"")&lt;&gt;"—",LEN(TRIM(D22&amp;""))&gt;0,TRIM(D22&amp;"")&lt;&gt;"—"),"PASS","⚠ FAIL — "&amp;"a required cell is empty/placeholder or wrong type")</f>
        <v>PASS</v>
      </c>
    </row>
  </sheetData>
  <mergeCells count="3">
    <mergeCell ref="A1:D1"/>
    <mergeCell ref="A2:D2"/>
    <mergeCell ref="A3:D3"/>
  </mergeCells>
  <hyperlinks>
    <hyperlink ref="E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7F7F"/>
    <pageSetUpPr fitToPage="false"/>
  </sheetPr>
  <dimension ref="A1:E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14"/>
    <col collapsed="false" customWidth="true" hidden="false" outlineLevel="0" max="2" min="2" style="0" width="46"/>
    <col collapsed="false" customWidth="true" hidden="false" outlineLevel="0" max="3" min="3" style="0" width="8"/>
    <col collapsed="false" customWidth="true" hidden="false" outlineLevel="0" max="4" min="4" style="0" width="64"/>
    <col collapsed="false" customWidth="true" hidden="false" outlineLevel="0" max="5" min="5" style="0" width="13"/>
  </cols>
  <sheetData>
    <row r="1" customFormat="false" ht="25.5" hidden="false" customHeight="true" outlineLevel="0" collapsed="false">
      <c r="A1" s="1" t="s">
        <v>3915</v>
      </c>
      <c r="B1" s="1"/>
      <c r="C1" s="1"/>
      <c r="D1" s="1"/>
      <c r="E1" s="24" t="s">
        <v>140</v>
      </c>
    </row>
    <row r="2" customFormat="false" ht="30" hidden="false" customHeight="true" outlineLevel="0" collapsed="false">
      <c r="A2" s="2" t="str">
        <f aca="false">"⬤ TAB QUALITY "&amp;IF(ISNUMBER('Quality &amp; Audit'!$B$35),IF('Quality &amp; Audit'!$B$35=INT('Quality &amp; Audit'!$B$35),TEXT('Quality &amp; Audit'!$B$35,"0"),TEXT('Quality &amp; Audit'!$B$35,"0.0")),"—")&amp;"/10 · "&amp;IF(ISNUMBER('Quality &amp; Audit'!$B$35),IF('Quality &amp; Audit'!$B$35&gt;=8,"PASS","FAIL"),"UNSCORED")&amp;" (target ≥8, live from the Quality &amp; Audit score cell)"&amp;" · dedupe + completeness (every BoM tag present exactly once) — part tags unique (each physical thing named once) 107/107; cell completeness+type contract 391/392 · score =…"&amp;" · full audit: Quality &amp; Audit tab"</f>
        <v>⬤ TAB QUALITY 8/10 · PASS (target ≥8, live from the Quality &amp; Audit score cell) · dedupe + completeness (every BoM tag present exactly once) — part tags unique (each physical thing named once) 107/107; cell completeness+type contract 391/392 · score =… · full audit: Quality &amp; Audit tab</v>
      </c>
      <c r="B2" s="2"/>
      <c r="C2" s="2"/>
      <c r="D2" s="2"/>
    </row>
    <row r="3" customFormat="false" ht="66.75" hidden="false" customHeight="true" outlineLevel="0" collapsed="false">
      <c r="A3" s="3" t="s">
        <v>3916</v>
      </c>
      <c r="B3" s="3"/>
      <c r="C3" s="3"/>
      <c r="D3" s="3"/>
    </row>
    <row r="4" customFormat="false" ht="15" hidden="false" customHeight="false" outlineLevel="0" collapsed="false">
      <c r="A4" s="9" t="s">
        <v>406</v>
      </c>
      <c r="B4" s="9" t="s">
        <v>3917</v>
      </c>
      <c r="C4" s="9" t="s">
        <v>407</v>
      </c>
      <c r="D4" s="9" t="s">
        <v>3918</v>
      </c>
      <c r="E4" s="10" t="s">
        <v>20</v>
      </c>
    </row>
    <row r="5" customFormat="false" ht="15" hidden="false" customHeight="false" outlineLevel="0" collapsed="false">
      <c r="A5" s="11" t="s">
        <v>3919</v>
      </c>
      <c r="B5" s="32" t="s">
        <v>937</v>
      </c>
      <c r="C5" s="28" t="n">
        <v>1</v>
      </c>
      <c r="D5" s="15" t="s">
        <v>937</v>
      </c>
      <c r="E5" s="16" t="str">
        <f aca="false">IF(AND(LEN(TRIM(A5&amp;""))&gt;0,TRIM(A5&amp;"")&lt;&gt;"—",LEN(TRIM(B5&amp;""))&gt;0,TRIM(B5&amp;"")&lt;&gt;"—",LEN(TRIM(C5&amp;""))&gt;0,TRIM(C5&amp;"")&lt;&gt;"—",ISNUMBER(C5),LEN(TRIM(D5&amp;""))&gt;0,TRIM(D5&amp;"")&lt;&gt;"—"),"PASS","⚠ FAIL — "&amp;"a required cell is empty/placeholder or wrong type")</f>
        <v>PASS</v>
      </c>
    </row>
    <row r="6" customFormat="false" ht="15" hidden="false" customHeight="false" outlineLevel="0" collapsed="false">
      <c r="A6" s="11" t="s">
        <v>3920</v>
      </c>
      <c r="B6" s="32" t="s">
        <v>442</v>
      </c>
      <c r="C6" s="28" t="n">
        <v>1</v>
      </c>
      <c r="D6" s="15" t="s">
        <v>442</v>
      </c>
      <c r="E6" s="16" t="str">
        <f aca="false">IF(AND(LEN(TRIM(A6&amp;""))&gt;0,TRIM(A6&amp;"")&lt;&gt;"—",LEN(TRIM(B6&amp;""))&gt;0,TRIM(B6&amp;"")&lt;&gt;"—",LEN(TRIM(C6&amp;""))&gt;0,TRIM(C6&amp;"")&lt;&gt;"—",ISNUMBER(C6),LEN(TRIM(D6&amp;""))&gt;0,TRIM(D6&amp;"")&lt;&gt;"—"),"PASS","⚠ FAIL — "&amp;"a required cell is empty/placeholder or wrong type")</f>
        <v>PASS</v>
      </c>
    </row>
    <row r="7" customFormat="false" ht="15" hidden="false" customHeight="false" outlineLevel="0" collapsed="false">
      <c r="A7" s="11" t="s">
        <v>3921</v>
      </c>
      <c r="B7" s="32" t="s">
        <v>853</v>
      </c>
      <c r="C7" s="28" t="n">
        <v>1</v>
      </c>
      <c r="D7" s="15" t="s">
        <v>853</v>
      </c>
      <c r="E7" s="16" t="str">
        <f aca="false">IF(AND(LEN(TRIM(A7&amp;""))&gt;0,TRIM(A7&amp;"")&lt;&gt;"—",LEN(TRIM(B7&amp;""))&gt;0,TRIM(B7&amp;"")&lt;&gt;"—",LEN(TRIM(C7&amp;""))&gt;0,TRIM(C7&amp;"")&lt;&gt;"—",ISNUMBER(C7),LEN(TRIM(D7&amp;""))&gt;0,TRIM(D7&amp;"")&lt;&gt;"—"),"PASS","⚠ FAIL — "&amp;"a required cell is empty/placeholder or wrong type")</f>
        <v>PASS</v>
      </c>
    </row>
    <row r="8" customFormat="false" ht="15" hidden="false" customHeight="false" outlineLevel="0" collapsed="false">
      <c r="A8" s="11" t="s">
        <v>3922</v>
      </c>
      <c r="B8" s="32" t="s">
        <v>939</v>
      </c>
      <c r="C8" s="28" t="n">
        <v>1</v>
      </c>
      <c r="D8" s="15" t="s">
        <v>939</v>
      </c>
      <c r="E8" s="16" t="str">
        <f aca="false">IF(AND(LEN(TRIM(A8&amp;""))&gt;0,TRIM(A8&amp;"")&lt;&gt;"—",LEN(TRIM(B8&amp;""))&gt;0,TRIM(B8&amp;"")&lt;&gt;"—",LEN(TRIM(C8&amp;""))&gt;0,TRIM(C8&amp;"")&lt;&gt;"—",ISNUMBER(C8),LEN(TRIM(D8&amp;""))&gt;0,TRIM(D8&amp;"")&lt;&gt;"—"),"PASS","⚠ FAIL — "&amp;"a required cell is empty/placeholder or wrong type")</f>
        <v>PASS</v>
      </c>
    </row>
    <row r="9" customFormat="false" ht="15" hidden="false" customHeight="false" outlineLevel="0" collapsed="false">
      <c r="A9" s="11" t="s">
        <v>3923</v>
      </c>
      <c r="B9" s="32" t="s">
        <v>924</v>
      </c>
      <c r="C9" s="28" t="n">
        <v>1</v>
      </c>
      <c r="D9" s="15" t="s">
        <v>924</v>
      </c>
      <c r="E9" s="16" t="str">
        <f aca="false">IF(AND(LEN(TRIM(A9&amp;""))&gt;0,TRIM(A9&amp;"")&lt;&gt;"—",LEN(TRIM(B9&amp;""))&gt;0,TRIM(B9&amp;"")&lt;&gt;"—",LEN(TRIM(C9&amp;""))&gt;0,TRIM(C9&amp;"")&lt;&gt;"—",ISNUMBER(C9),LEN(TRIM(D9&amp;""))&gt;0,TRIM(D9&amp;"")&lt;&gt;"—"),"PASS","⚠ FAIL — "&amp;"a required cell is empty/placeholder or wrong type")</f>
        <v>PASS</v>
      </c>
    </row>
    <row r="10" customFormat="false" ht="22.35" hidden="false" customHeight="false" outlineLevel="0" collapsed="false">
      <c r="A10" s="11" t="s">
        <v>3924</v>
      </c>
      <c r="B10" s="32" t="s">
        <v>3925</v>
      </c>
      <c r="C10" s="28" t="n">
        <v>2</v>
      </c>
      <c r="D10" s="15" t="s">
        <v>3926</v>
      </c>
      <c r="E10" s="16" t="str">
        <f aca="false">IF(AND(LEN(TRIM(A10&amp;""))&gt;0,TRIM(A10&amp;"")&lt;&gt;"—",LEN(TRIM(B10&amp;""))&gt;0,TRIM(B10&amp;"")&lt;&gt;"—",LEN(TRIM(C10&amp;""))&gt;0,TRIM(C10&amp;"")&lt;&gt;"—",ISNUMBER(C10),LEN(TRIM(D10&amp;""))&gt;0,TRIM(D10&amp;"")&lt;&gt;"—"),"PASS","⚠ FAIL — "&amp;"a required cell is empty/placeholder or wrong type")</f>
        <v>PASS</v>
      </c>
    </row>
    <row r="11" customFormat="false" ht="15" hidden="false" customHeight="false" outlineLevel="0" collapsed="false">
      <c r="A11" s="11" t="s">
        <v>3927</v>
      </c>
      <c r="B11" s="32" t="s">
        <v>880</v>
      </c>
      <c r="C11" s="28" t="n">
        <v>1</v>
      </c>
      <c r="D11" s="15" t="s">
        <v>880</v>
      </c>
      <c r="E11" s="16" t="str">
        <f aca="false">IF(AND(LEN(TRIM(A11&amp;""))&gt;0,TRIM(A11&amp;"")&lt;&gt;"—",LEN(TRIM(B11&amp;""))&gt;0,TRIM(B11&amp;"")&lt;&gt;"—",LEN(TRIM(C11&amp;""))&gt;0,TRIM(C11&amp;"")&lt;&gt;"—",ISNUMBER(C11),LEN(TRIM(D11&amp;""))&gt;0,TRIM(D11&amp;"")&lt;&gt;"—"),"PASS","⚠ FAIL — "&amp;"a required cell is empty/placeholder or wrong type")</f>
        <v>PASS</v>
      </c>
    </row>
    <row r="12" customFormat="false" ht="15" hidden="false" customHeight="false" outlineLevel="0" collapsed="false">
      <c r="A12" s="11" t="s">
        <v>3928</v>
      </c>
      <c r="B12" s="32" t="s">
        <v>941</v>
      </c>
      <c r="C12" s="28" t="n">
        <v>1</v>
      </c>
      <c r="D12" s="15" t="s">
        <v>941</v>
      </c>
      <c r="E12" s="16" t="str">
        <f aca="false">IF(AND(LEN(TRIM(A12&amp;""))&gt;0,TRIM(A12&amp;"")&lt;&gt;"—",LEN(TRIM(B12&amp;""))&gt;0,TRIM(B12&amp;"")&lt;&gt;"—",LEN(TRIM(C12&amp;""))&gt;0,TRIM(C12&amp;"")&lt;&gt;"—",ISNUMBER(C12),LEN(TRIM(D12&amp;""))&gt;0,TRIM(D12&amp;"")&lt;&gt;"—"),"PASS","⚠ FAIL — "&amp;"a required cell is empty/placeholder or wrong type")</f>
        <v>PASS</v>
      </c>
    </row>
    <row r="13" customFormat="false" ht="15" hidden="false" customHeight="false" outlineLevel="0" collapsed="false">
      <c r="A13" s="11" t="s">
        <v>3929</v>
      </c>
      <c r="B13" s="32" t="s">
        <v>935</v>
      </c>
      <c r="C13" s="28" t="n">
        <v>1</v>
      </c>
      <c r="D13" s="15" t="s">
        <v>935</v>
      </c>
      <c r="E13" s="16" t="str">
        <f aca="false">IF(AND(LEN(TRIM(A13&amp;""))&gt;0,TRIM(A13&amp;"")&lt;&gt;"—",LEN(TRIM(B13&amp;""))&gt;0,TRIM(B13&amp;"")&lt;&gt;"—",LEN(TRIM(C13&amp;""))&gt;0,TRIM(C13&amp;"")&lt;&gt;"—",ISNUMBER(C13),LEN(TRIM(D13&amp;""))&gt;0,TRIM(D13&amp;"")&lt;&gt;"—"),"PASS","⚠ FAIL — "&amp;"a required cell is empty/placeholder or wrong type")</f>
        <v>PASS</v>
      </c>
    </row>
    <row r="14" customFormat="false" ht="22.35" hidden="false" customHeight="false" outlineLevel="0" collapsed="false">
      <c r="A14" s="11" t="s">
        <v>3930</v>
      </c>
      <c r="B14" s="32" t="s">
        <v>3931</v>
      </c>
      <c r="C14" s="28" t="n">
        <v>2</v>
      </c>
      <c r="D14" s="15" t="s">
        <v>3932</v>
      </c>
      <c r="E14" s="16" t="str">
        <f aca="false">IF(AND(LEN(TRIM(A14&amp;""))&gt;0,TRIM(A14&amp;"")&lt;&gt;"—",LEN(TRIM(B14&amp;""))&gt;0,TRIM(B14&amp;"")&lt;&gt;"—",LEN(TRIM(C14&amp;""))&gt;0,TRIM(C14&amp;"")&lt;&gt;"—",ISNUMBER(C14),LEN(TRIM(D14&amp;""))&gt;0,TRIM(D14&amp;"")&lt;&gt;"—"),"PASS","⚠ FAIL — "&amp;"a required cell is empty/placeholder or wrong type")</f>
        <v>PASS</v>
      </c>
    </row>
    <row r="15" customFormat="false" ht="22.35" hidden="false" customHeight="false" outlineLevel="0" collapsed="false">
      <c r="A15" s="11" t="s">
        <v>3933</v>
      </c>
      <c r="B15" s="32" t="s">
        <v>3131</v>
      </c>
      <c r="C15" s="28" t="n">
        <v>2</v>
      </c>
      <c r="D15" s="15" t="s">
        <v>3934</v>
      </c>
      <c r="E15" s="16" t="str">
        <f aca="false">IF(AND(LEN(TRIM(A15&amp;""))&gt;0,TRIM(A15&amp;"")&lt;&gt;"—",LEN(TRIM(B15&amp;""))&gt;0,TRIM(B15&amp;"")&lt;&gt;"—",LEN(TRIM(C15&amp;""))&gt;0,TRIM(C15&amp;"")&lt;&gt;"—",ISNUMBER(C15),LEN(TRIM(D15&amp;""))&gt;0,TRIM(D15&amp;"")&lt;&gt;"—"),"PASS","⚠ FAIL — "&amp;"a required cell is empty/placeholder or wrong type")</f>
        <v>PASS</v>
      </c>
    </row>
    <row r="16" customFormat="false" ht="15" hidden="false" customHeight="false" outlineLevel="0" collapsed="false">
      <c r="A16" s="11" t="s">
        <v>3935</v>
      </c>
      <c r="B16" s="32" t="s">
        <v>3936</v>
      </c>
      <c r="C16" s="28" t="n">
        <v>2</v>
      </c>
      <c r="D16" s="15" t="s">
        <v>679</v>
      </c>
      <c r="E16" s="16" t="str">
        <f aca="false">IF(AND(LEN(TRIM(A16&amp;""))&gt;0,TRIM(A16&amp;"")&lt;&gt;"—",LEN(TRIM(B16&amp;""))&gt;0,TRIM(B16&amp;"")&lt;&gt;"—",LEN(TRIM(C16&amp;""))&gt;0,TRIM(C16&amp;"")&lt;&gt;"—",ISNUMBER(C16),LEN(TRIM(D16&amp;""))&gt;0,TRIM(D16&amp;"")&lt;&gt;"—"),"PASS","⚠ FAIL — "&amp;"a required cell is empty/placeholder or wrong type")</f>
        <v>PASS</v>
      </c>
    </row>
    <row r="17" customFormat="false" ht="15" hidden="false" customHeight="false" outlineLevel="0" collapsed="false">
      <c r="A17" s="11" t="s">
        <v>3937</v>
      </c>
      <c r="B17" s="32" t="s">
        <v>802</v>
      </c>
      <c r="C17" s="28" t="n">
        <v>1</v>
      </c>
      <c r="D17" s="15" t="s">
        <v>802</v>
      </c>
      <c r="E17" s="16" t="str">
        <f aca="false">IF(AND(LEN(TRIM(A17&amp;""))&gt;0,TRIM(A17&amp;"")&lt;&gt;"—",LEN(TRIM(B17&amp;""))&gt;0,TRIM(B17&amp;"")&lt;&gt;"—",LEN(TRIM(C17&amp;""))&gt;0,TRIM(C17&amp;"")&lt;&gt;"—",ISNUMBER(C17),LEN(TRIM(D17&amp;""))&gt;0,TRIM(D17&amp;"")&lt;&gt;"—"),"PASS","⚠ FAIL — "&amp;"a required cell is empty/placeholder or wrong type")</f>
        <v>PASS</v>
      </c>
    </row>
    <row r="18" customFormat="false" ht="15" hidden="false" customHeight="false" outlineLevel="0" collapsed="false">
      <c r="A18" s="11" t="s">
        <v>3938</v>
      </c>
      <c r="B18" s="32" t="s">
        <v>888</v>
      </c>
      <c r="C18" s="28" t="n">
        <v>1</v>
      </c>
      <c r="D18" s="15" t="s">
        <v>888</v>
      </c>
      <c r="E18" s="16" t="str">
        <f aca="false">IF(AND(LEN(TRIM(A18&amp;""))&gt;0,TRIM(A18&amp;"")&lt;&gt;"—",LEN(TRIM(B18&amp;""))&gt;0,TRIM(B18&amp;"")&lt;&gt;"—",LEN(TRIM(C18&amp;""))&gt;0,TRIM(C18&amp;"")&lt;&gt;"—",ISNUMBER(C18),LEN(TRIM(D18&amp;""))&gt;0,TRIM(D18&amp;"")&lt;&gt;"—"),"PASS","⚠ FAIL — "&amp;"a required cell is empty/placeholder or wrong type")</f>
        <v>PASS</v>
      </c>
    </row>
    <row r="19" customFormat="false" ht="15" hidden="false" customHeight="false" outlineLevel="0" collapsed="false">
      <c r="A19" s="11" t="s">
        <v>3939</v>
      </c>
      <c r="B19" s="32" t="s">
        <v>854</v>
      </c>
      <c r="C19" s="28" t="n">
        <v>1</v>
      </c>
      <c r="D19" s="15" t="s">
        <v>854</v>
      </c>
      <c r="E19" s="16" t="str">
        <f aca="false">IF(AND(LEN(TRIM(A19&amp;""))&gt;0,TRIM(A19&amp;"")&lt;&gt;"—",LEN(TRIM(B19&amp;""))&gt;0,TRIM(B19&amp;"")&lt;&gt;"—",LEN(TRIM(C19&amp;""))&gt;0,TRIM(C19&amp;"")&lt;&gt;"—",ISNUMBER(C19),LEN(TRIM(D19&amp;""))&gt;0,TRIM(D19&amp;"")&lt;&gt;"—"),"PASS","⚠ FAIL — "&amp;"a required cell is empty/placeholder or wrong type")</f>
        <v>PASS</v>
      </c>
    </row>
    <row r="20" customFormat="false" ht="15" hidden="false" customHeight="false" outlineLevel="0" collapsed="false">
      <c r="A20" s="11" t="s">
        <v>3940</v>
      </c>
      <c r="B20" s="32" t="s">
        <v>3941</v>
      </c>
      <c r="C20" s="28" t="n">
        <v>1</v>
      </c>
      <c r="D20" s="15" t="s">
        <v>454</v>
      </c>
      <c r="E20" s="16" t="str">
        <f aca="false">IF(AND(LEN(TRIM(A20&amp;""))&gt;0,TRIM(A20&amp;"")&lt;&gt;"—",LEN(TRIM(B20&amp;""))&gt;0,TRIM(B20&amp;"")&lt;&gt;"—",LEN(TRIM(C20&amp;""))&gt;0,TRIM(C20&amp;"")&lt;&gt;"—",ISNUMBER(C20),LEN(TRIM(D20&amp;""))&gt;0,TRIM(D20&amp;"")&lt;&gt;"—"),"PASS","⚠ FAIL — "&amp;"a required cell is empty/placeholder or wrong type")</f>
        <v>PASS</v>
      </c>
    </row>
    <row r="21" customFormat="false" ht="15" hidden="false" customHeight="false" outlineLevel="0" collapsed="false">
      <c r="A21" s="11" t="s">
        <v>3942</v>
      </c>
      <c r="B21" s="32" t="s">
        <v>444</v>
      </c>
      <c r="C21" s="28" t="n">
        <v>1</v>
      </c>
      <c r="D21" s="15" t="s">
        <v>444</v>
      </c>
      <c r="E21" s="16" t="str">
        <f aca="false">IF(AND(LEN(TRIM(A21&amp;""))&gt;0,TRIM(A21&amp;"")&lt;&gt;"—",LEN(TRIM(B21&amp;""))&gt;0,TRIM(B21&amp;"")&lt;&gt;"—",LEN(TRIM(C21&amp;""))&gt;0,TRIM(C21&amp;"")&lt;&gt;"—",ISNUMBER(C21),LEN(TRIM(D21&amp;""))&gt;0,TRIM(D21&amp;"")&lt;&gt;"—"),"PASS","⚠ FAIL — "&amp;"a required cell is empty/placeholder or wrong type")</f>
        <v>PASS</v>
      </c>
    </row>
    <row r="22" customFormat="false" ht="15" hidden="false" customHeight="false" outlineLevel="0" collapsed="false">
      <c r="A22" s="11" t="s">
        <v>3943</v>
      </c>
      <c r="B22" s="32" t="s">
        <v>828</v>
      </c>
      <c r="C22" s="28" t="n">
        <v>1</v>
      </c>
      <c r="D22" s="15" t="s">
        <v>828</v>
      </c>
      <c r="E22" s="16" t="str">
        <f aca="false">IF(AND(LEN(TRIM(A22&amp;""))&gt;0,TRIM(A22&amp;"")&lt;&gt;"—",LEN(TRIM(B22&amp;""))&gt;0,TRIM(B22&amp;"")&lt;&gt;"—",LEN(TRIM(C22&amp;""))&gt;0,TRIM(C22&amp;"")&lt;&gt;"—",ISNUMBER(C22),LEN(TRIM(D22&amp;""))&gt;0,TRIM(D22&amp;"")&lt;&gt;"—"),"PASS","⚠ FAIL — "&amp;"a required cell is empty/placeholder or wrong type")</f>
        <v>PASS</v>
      </c>
    </row>
    <row r="23" customFormat="false" ht="15" hidden="false" customHeight="false" outlineLevel="0" collapsed="false">
      <c r="A23" s="11" t="s">
        <v>3944</v>
      </c>
      <c r="B23" s="32" t="s">
        <v>836</v>
      </c>
      <c r="C23" s="28" t="n">
        <v>1</v>
      </c>
      <c r="D23" s="15" t="s">
        <v>836</v>
      </c>
      <c r="E23" s="16" t="str">
        <f aca="false">IF(AND(LEN(TRIM(A23&amp;""))&gt;0,TRIM(A23&amp;"")&lt;&gt;"—",LEN(TRIM(B23&amp;""))&gt;0,TRIM(B23&amp;"")&lt;&gt;"—",LEN(TRIM(C23&amp;""))&gt;0,TRIM(C23&amp;"")&lt;&gt;"—",ISNUMBER(C23),LEN(TRIM(D23&amp;""))&gt;0,TRIM(D23&amp;"")&lt;&gt;"—"),"PASS","⚠ FAIL — "&amp;"a required cell is empty/placeholder or wrong type")</f>
        <v>PASS</v>
      </c>
    </row>
    <row r="24" customFormat="false" ht="15" hidden="false" customHeight="false" outlineLevel="0" collapsed="false">
      <c r="A24" s="11" t="s">
        <v>3945</v>
      </c>
      <c r="B24" s="32" t="s">
        <v>3946</v>
      </c>
      <c r="C24" s="28" t="n">
        <v>2</v>
      </c>
      <c r="D24" s="15" t="s">
        <v>731</v>
      </c>
      <c r="E24" s="16" t="str">
        <f aca="false">IF(AND(LEN(TRIM(A24&amp;""))&gt;0,TRIM(A24&amp;"")&lt;&gt;"—",LEN(TRIM(B24&amp;""))&gt;0,TRIM(B24&amp;"")&lt;&gt;"—",LEN(TRIM(C24&amp;""))&gt;0,TRIM(C24&amp;"")&lt;&gt;"—",ISNUMBER(C24),LEN(TRIM(D24&amp;""))&gt;0,TRIM(D24&amp;"")&lt;&gt;"—"),"PASS","⚠ FAIL — "&amp;"a required cell is empty/placeholder or wrong type")</f>
        <v>PASS</v>
      </c>
    </row>
    <row r="25" customFormat="false" ht="15" hidden="false" customHeight="false" outlineLevel="0" collapsed="false">
      <c r="A25" s="11" t="s">
        <v>3947</v>
      </c>
      <c r="B25" s="32" t="s">
        <v>3948</v>
      </c>
      <c r="C25" s="28" t="n">
        <v>2</v>
      </c>
      <c r="D25" s="15" t="s">
        <v>646</v>
      </c>
      <c r="E25" s="16" t="str">
        <f aca="false">IF(AND(LEN(TRIM(A25&amp;""))&gt;0,TRIM(A25&amp;"")&lt;&gt;"—",LEN(TRIM(B25&amp;""))&gt;0,TRIM(B25&amp;"")&lt;&gt;"—",LEN(TRIM(C25&amp;""))&gt;0,TRIM(C25&amp;"")&lt;&gt;"—",ISNUMBER(C25),LEN(TRIM(D25&amp;""))&gt;0,TRIM(D25&amp;"")&lt;&gt;"—"),"PASS","⚠ FAIL — "&amp;"a required cell is empty/placeholder or wrong type")</f>
        <v>PASS</v>
      </c>
    </row>
    <row r="26" customFormat="false" ht="15" hidden="false" customHeight="false" outlineLevel="0" collapsed="false">
      <c r="A26" s="11" t="s">
        <v>3949</v>
      </c>
      <c r="B26" s="32" t="s">
        <v>3950</v>
      </c>
      <c r="C26" s="28" t="n">
        <v>2</v>
      </c>
      <c r="D26" s="15" t="s">
        <v>660</v>
      </c>
      <c r="E26" s="16" t="str">
        <f aca="false">IF(AND(LEN(TRIM(A26&amp;""))&gt;0,TRIM(A26&amp;"")&lt;&gt;"—",LEN(TRIM(B26&amp;""))&gt;0,TRIM(B26&amp;"")&lt;&gt;"—",LEN(TRIM(C26&amp;""))&gt;0,TRIM(C26&amp;"")&lt;&gt;"—",ISNUMBER(C26),LEN(TRIM(D26&amp;""))&gt;0,TRIM(D26&amp;"")&lt;&gt;"—"),"PASS","⚠ FAIL — "&amp;"a required cell is empty/placeholder or wrong type")</f>
        <v>PASS</v>
      </c>
    </row>
    <row r="27" customFormat="false" ht="15" hidden="false" customHeight="false" outlineLevel="0" collapsed="false">
      <c r="A27" s="11" t="s">
        <v>3951</v>
      </c>
      <c r="B27" s="32" t="s">
        <v>3952</v>
      </c>
      <c r="C27" s="28" t="n">
        <v>2</v>
      </c>
      <c r="D27" s="15" t="s">
        <v>790</v>
      </c>
      <c r="E27" s="16" t="str">
        <f aca="false">IF(AND(LEN(TRIM(A27&amp;""))&gt;0,TRIM(A27&amp;"")&lt;&gt;"—",LEN(TRIM(B27&amp;""))&gt;0,TRIM(B27&amp;"")&lt;&gt;"—",LEN(TRIM(C27&amp;""))&gt;0,TRIM(C27&amp;"")&lt;&gt;"—",ISNUMBER(C27),LEN(TRIM(D27&amp;""))&gt;0,TRIM(D27&amp;"")&lt;&gt;"—"),"PASS","⚠ FAIL — "&amp;"a required cell is empty/placeholder or wrong type")</f>
        <v>PASS</v>
      </c>
    </row>
    <row r="28" customFormat="false" ht="15" hidden="false" customHeight="false" outlineLevel="0" collapsed="false">
      <c r="A28" s="11" t="s">
        <v>3953</v>
      </c>
      <c r="B28" s="32" t="s">
        <v>921</v>
      </c>
      <c r="C28" s="28" t="n">
        <v>1</v>
      </c>
      <c r="D28" s="15" t="s">
        <v>921</v>
      </c>
      <c r="E28" s="16" t="str">
        <f aca="false">IF(AND(LEN(TRIM(A28&amp;""))&gt;0,TRIM(A28&amp;"")&lt;&gt;"—",LEN(TRIM(B28&amp;""))&gt;0,TRIM(B28&amp;"")&lt;&gt;"—",LEN(TRIM(C28&amp;""))&gt;0,TRIM(C28&amp;"")&lt;&gt;"—",ISNUMBER(C28),LEN(TRIM(D28&amp;""))&gt;0,TRIM(D28&amp;"")&lt;&gt;"—"),"PASS","⚠ FAIL — "&amp;"a required cell is empty/placeholder or wrong type")</f>
        <v>PASS</v>
      </c>
    </row>
    <row r="29" customFormat="false" ht="15" hidden="false" customHeight="false" outlineLevel="0" collapsed="false">
      <c r="A29" s="11" t="s">
        <v>3954</v>
      </c>
      <c r="B29" s="32" t="s">
        <v>424</v>
      </c>
      <c r="C29" s="28" t="n">
        <v>1</v>
      </c>
      <c r="D29" s="15" t="s">
        <v>424</v>
      </c>
      <c r="E29" s="16" t="str">
        <f aca="false">IF(AND(LEN(TRIM(A29&amp;""))&gt;0,TRIM(A29&amp;"")&lt;&gt;"—",LEN(TRIM(B29&amp;""))&gt;0,TRIM(B29&amp;"")&lt;&gt;"—",LEN(TRIM(C29&amp;""))&gt;0,TRIM(C29&amp;"")&lt;&gt;"—",ISNUMBER(C29),LEN(TRIM(D29&amp;""))&gt;0,TRIM(D29&amp;"")&lt;&gt;"—"),"PASS","⚠ FAIL — "&amp;"a required cell is empty/placeholder or wrong type")</f>
        <v>PASS</v>
      </c>
    </row>
    <row r="30" customFormat="false" ht="22.35" hidden="false" customHeight="false" outlineLevel="0" collapsed="false">
      <c r="A30" s="11" t="s">
        <v>3955</v>
      </c>
      <c r="B30" s="32" t="s">
        <v>3956</v>
      </c>
      <c r="C30" s="28" t="n">
        <v>3</v>
      </c>
      <c r="D30" s="15" t="s">
        <v>3957</v>
      </c>
      <c r="E30" s="16" t="str">
        <f aca="false">IF(AND(LEN(TRIM(A30&amp;""))&gt;0,TRIM(A30&amp;"")&lt;&gt;"—",LEN(TRIM(B30&amp;""))&gt;0,TRIM(B30&amp;"")&lt;&gt;"—",LEN(TRIM(C30&amp;""))&gt;0,TRIM(C30&amp;"")&lt;&gt;"—",ISNUMBER(C30),LEN(TRIM(D30&amp;""))&gt;0,TRIM(D30&amp;"")&lt;&gt;"—"),"PASS","⚠ FAIL — "&amp;"a required cell is empty/placeholder or wrong type")</f>
        <v>PASS</v>
      </c>
    </row>
    <row r="31" customFormat="false" ht="15" hidden="false" customHeight="false" outlineLevel="0" collapsed="false">
      <c r="A31" s="11" t="s">
        <v>3958</v>
      </c>
      <c r="B31" s="32" t="s">
        <v>824</v>
      </c>
      <c r="C31" s="28" t="n">
        <v>1</v>
      </c>
      <c r="D31" s="15" t="s">
        <v>824</v>
      </c>
      <c r="E31" s="16" t="str">
        <f aca="false">IF(AND(LEN(TRIM(A31&amp;""))&gt;0,TRIM(A31&amp;"")&lt;&gt;"—",LEN(TRIM(B31&amp;""))&gt;0,TRIM(B31&amp;"")&lt;&gt;"—",LEN(TRIM(C31&amp;""))&gt;0,TRIM(C31&amp;"")&lt;&gt;"—",ISNUMBER(C31),LEN(TRIM(D31&amp;""))&gt;0,TRIM(D31&amp;"")&lt;&gt;"—"),"PASS","⚠ FAIL — "&amp;"a required cell is empty/placeholder or wrong type")</f>
        <v>PASS</v>
      </c>
    </row>
    <row r="32" customFormat="false" ht="15" hidden="false" customHeight="false" outlineLevel="0" collapsed="false">
      <c r="A32" s="11" t="s">
        <v>3959</v>
      </c>
      <c r="B32" s="32" t="s">
        <v>3960</v>
      </c>
      <c r="C32" s="28" t="n">
        <v>2</v>
      </c>
      <c r="D32" s="15" t="s">
        <v>569</v>
      </c>
      <c r="E32" s="16" t="str">
        <f aca="false">IF(AND(LEN(TRIM(A32&amp;""))&gt;0,TRIM(A32&amp;"")&lt;&gt;"—",LEN(TRIM(B32&amp;""))&gt;0,TRIM(B32&amp;"")&lt;&gt;"—",LEN(TRIM(C32&amp;""))&gt;0,TRIM(C32&amp;"")&lt;&gt;"—",ISNUMBER(C32),LEN(TRIM(D32&amp;""))&gt;0,TRIM(D32&amp;"")&lt;&gt;"—"),"PASS","⚠ FAIL — "&amp;"a required cell is empty/placeholder or wrong type")</f>
        <v>PASS</v>
      </c>
    </row>
    <row r="33" customFormat="false" ht="15" hidden="false" customHeight="false" outlineLevel="0" collapsed="false">
      <c r="A33" s="11" t="s">
        <v>3961</v>
      </c>
      <c r="B33" s="32" t="s">
        <v>905</v>
      </c>
      <c r="C33" s="28" t="n">
        <v>1</v>
      </c>
      <c r="D33" s="15" t="s">
        <v>905</v>
      </c>
      <c r="E33" s="16" t="str">
        <f aca="false">IF(AND(LEN(TRIM(A33&amp;""))&gt;0,TRIM(A33&amp;"")&lt;&gt;"—",LEN(TRIM(B33&amp;""))&gt;0,TRIM(B33&amp;"")&lt;&gt;"—",LEN(TRIM(C33&amp;""))&gt;0,TRIM(C33&amp;"")&lt;&gt;"—",ISNUMBER(C33),LEN(TRIM(D33&amp;""))&gt;0,TRIM(D33&amp;"")&lt;&gt;"—"),"PASS","⚠ FAIL — "&amp;"a required cell is empty/placeholder or wrong type")</f>
        <v>PASS</v>
      </c>
    </row>
    <row r="34" customFormat="false" ht="15" hidden="false" customHeight="false" outlineLevel="0" collapsed="false">
      <c r="A34" s="11" t="s">
        <v>3962</v>
      </c>
      <c r="B34" s="32" t="s">
        <v>845</v>
      </c>
      <c r="C34" s="28" t="n">
        <v>1</v>
      </c>
      <c r="D34" s="15" t="s">
        <v>845</v>
      </c>
      <c r="E34" s="16" t="str">
        <f aca="false">IF(AND(LEN(TRIM(A34&amp;""))&gt;0,TRIM(A34&amp;"")&lt;&gt;"—",LEN(TRIM(B34&amp;""))&gt;0,TRIM(B34&amp;"")&lt;&gt;"—",LEN(TRIM(C34&amp;""))&gt;0,TRIM(C34&amp;"")&lt;&gt;"—",ISNUMBER(C34),LEN(TRIM(D34&amp;""))&gt;0,TRIM(D34&amp;"")&lt;&gt;"—"),"PASS","⚠ FAIL — "&amp;"a required cell is empty/placeholder or wrong type")</f>
        <v>PASS</v>
      </c>
    </row>
    <row r="35" customFormat="false" ht="22.35" hidden="false" customHeight="false" outlineLevel="0" collapsed="false">
      <c r="A35" s="11" t="s">
        <v>3963</v>
      </c>
      <c r="B35" s="32" t="s">
        <v>855</v>
      </c>
      <c r="C35" s="28" t="n">
        <v>2</v>
      </c>
      <c r="D35" s="15" t="s">
        <v>3964</v>
      </c>
      <c r="E35" s="16" t="str">
        <f aca="false">IF(AND(LEN(TRIM(A35&amp;""))&gt;0,TRIM(A35&amp;"")&lt;&gt;"—",LEN(TRIM(B35&amp;""))&gt;0,TRIM(B35&amp;"")&lt;&gt;"—",LEN(TRIM(C35&amp;""))&gt;0,TRIM(C35&amp;"")&lt;&gt;"—",ISNUMBER(C35),LEN(TRIM(D35&amp;""))&gt;0,TRIM(D35&amp;"")&lt;&gt;"—"),"PASS","⚠ FAIL — "&amp;"a required cell is empty/placeholder or wrong type")</f>
        <v>PASS</v>
      </c>
    </row>
    <row r="36" customFormat="false" ht="15" hidden="false" customHeight="false" outlineLevel="0" collapsed="false">
      <c r="A36" s="11" t="s">
        <v>3965</v>
      </c>
      <c r="B36" s="32" t="s">
        <v>3966</v>
      </c>
      <c r="C36" s="28" t="n">
        <v>1</v>
      </c>
      <c r="D36" s="15" t="s">
        <v>777</v>
      </c>
      <c r="E36" s="16" t="str">
        <f aca="false">IF(AND(LEN(TRIM(A36&amp;""))&gt;0,TRIM(A36&amp;"")&lt;&gt;"—",LEN(TRIM(B36&amp;""))&gt;0,TRIM(B36&amp;"")&lt;&gt;"—",LEN(TRIM(C36&amp;""))&gt;0,TRIM(C36&amp;"")&lt;&gt;"—",ISNUMBER(C36),LEN(TRIM(D36&amp;""))&gt;0,TRIM(D36&amp;"")&lt;&gt;"—"),"PASS","⚠ FAIL — "&amp;"a required cell is empty/placeholder or wrong type")</f>
        <v>PASS</v>
      </c>
    </row>
    <row r="37" customFormat="false" ht="15" hidden="false" customHeight="false" outlineLevel="0" collapsed="false">
      <c r="A37" s="11" t="s">
        <v>3967</v>
      </c>
      <c r="B37" s="32" t="s">
        <v>3968</v>
      </c>
      <c r="C37" s="28" t="n">
        <v>1</v>
      </c>
      <c r="D37" s="15" t="s">
        <v>764</v>
      </c>
      <c r="E37" s="16" t="str">
        <f aca="false">IF(AND(LEN(TRIM(A37&amp;""))&gt;0,TRIM(A37&amp;"")&lt;&gt;"—",LEN(TRIM(B37&amp;""))&gt;0,TRIM(B37&amp;"")&lt;&gt;"—",LEN(TRIM(C37&amp;""))&gt;0,TRIM(C37&amp;"")&lt;&gt;"—",ISNUMBER(C37),LEN(TRIM(D37&amp;""))&gt;0,TRIM(D37&amp;"")&lt;&gt;"—"),"PASS","⚠ FAIL — "&amp;"a required cell is empty/placeholder or wrong type")</f>
        <v>PASS</v>
      </c>
    </row>
    <row r="38" customFormat="false" ht="15" hidden="false" customHeight="false" outlineLevel="0" collapsed="false">
      <c r="A38" s="11" t="s">
        <v>3969</v>
      </c>
      <c r="B38" s="32" t="s">
        <v>3970</v>
      </c>
      <c r="C38" s="28" t="n">
        <v>1</v>
      </c>
      <c r="D38" s="15" t="s">
        <v>700</v>
      </c>
      <c r="E38" s="16" t="str">
        <f aca="false">IF(AND(LEN(TRIM(A38&amp;""))&gt;0,TRIM(A38&amp;"")&lt;&gt;"—",LEN(TRIM(B38&amp;""))&gt;0,TRIM(B38&amp;"")&lt;&gt;"—",LEN(TRIM(C38&amp;""))&gt;0,TRIM(C38&amp;"")&lt;&gt;"—",ISNUMBER(C38),LEN(TRIM(D38&amp;""))&gt;0,TRIM(D38&amp;"")&lt;&gt;"—"),"PASS","⚠ FAIL — "&amp;"a required cell is empty/placeholder or wrong type")</f>
        <v>PASS</v>
      </c>
    </row>
    <row r="39" customFormat="false" ht="15" hidden="false" customHeight="false" outlineLevel="0" collapsed="false">
      <c r="A39" s="11" t="s">
        <v>3971</v>
      </c>
      <c r="B39" s="32" t="s">
        <v>3972</v>
      </c>
      <c r="C39" s="28" t="n">
        <v>1</v>
      </c>
      <c r="D39" s="15" t="s">
        <v>909</v>
      </c>
      <c r="E39" s="16" t="str">
        <f aca="false">IF(AND(LEN(TRIM(A39&amp;""))&gt;0,TRIM(A39&amp;"")&lt;&gt;"—",LEN(TRIM(B39&amp;""))&gt;0,TRIM(B39&amp;"")&lt;&gt;"—",LEN(TRIM(C39&amp;""))&gt;0,TRIM(C39&amp;"")&lt;&gt;"—",ISNUMBER(C39),LEN(TRIM(D39&amp;""))&gt;0,TRIM(D39&amp;"")&lt;&gt;"—"),"PASS","⚠ FAIL — "&amp;"a required cell is empty/placeholder or wrong type")</f>
        <v>PASS</v>
      </c>
    </row>
    <row r="40" customFormat="false" ht="15" hidden="false" customHeight="false" outlineLevel="0" collapsed="false">
      <c r="A40" s="11" t="s">
        <v>3973</v>
      </c>
      <c r="B40" s="32" t="s">
        <v>3974</v>
      </c>
      <c r="C40" s="28" t="n">
        <v>1</v>
      </c>
      <c r="D40" s="15" t="s">
        <v>626</v>
      </c>
      <c r="E40" s="16" t="str">
        <f aca="false">IF(AND(LEN(TRIM(A40&amp;""))&gt;0,TRIM(A40&amp;"")&lt;&gt;"—",LEN(TRIM(B40&amp;""))&gt;0,TRIM(B40&amp;"")&lt;&gt;"—",LEN(TRIM(C40&amp;""))&gt;0,TRIM(C40&amp;"")&lt;&gt;"—",ISNUMBER(C40),LEN(TRIM(D40&amp;""))&gt;0,TRIM(D40&amp;"")&lt;&gt;"—"),"PASS","⚠ FAIL — "&amp;"a required cell is empty/placeholder or wrong type")</f>
        <v>PASS</v>
      </c>
    </row>
    <row r="41" customFormat="false" ht="15" hidden="false" customHeight="false" outlineLevel="0" collapsed="false">
      <c r="A41" s="11" t="s">
        <v>3975</v>
      </c>
      <c r="B41" s="32" t="s">
        <v>3976</v>
      </c>
      <c r="C41" s="28" t="n">
        <v>428</v>
      </c>
      <c r="D41" s="15" t="s">
        <v>1364</v>
      </c>
      <c r="E41" s="16" t="str">
        <f aca="false">IF(AND(LEN(TRIM(A41&amp;""))&gt;0,TRIM(A41&amp;"")&lt;&gt;"—",LEN(TRIM(B41&amp;""))&gt;0,TRIM(B41&amp;"")&lt;&gt;"—",LEN(TRIM(C41&amp;""))&gt;0,TRIM(C41&amp;"")&lt;&gt;"—",ISNUMBER(C41),LEN(TRIM(D41&amp;""))&gt;0,TRIM(D41&amp;"")&lt;&gt;"—"),"PASS","⚠ FAIL — "&amp;"a required cell is empty/placeholder or wrong type")</f>
        <v>PASS</v>
      </c>
    </row>
    <row r="42" customFormat="false" ht="15" hidden="false" customHeight="false" outlineLevel="0" collapsed="false">
      <c r="A42" s="11" t="s">
        <v>3977</v>
      </c>
      <c r="B42" s="32" t="s">
        <v>915</v>
      </c>
      <c r="C42" s="28" t="n">
        <v>1</v>
      </c>
      <c r="D42" s="15" t="s">
        <v>915</v>
      </c>
      <c r="E42" s="16" t="str">
        <f aca="false">IF(AND(LEN(TRIM(A42&amp;""))&gt;0,TRIM(A42&amp;"")&lt;&gt;"—",LEN(TRIM(B42&amp;""))&gt;0,TRIM(B42&amp;"")&lt;&gt;"—",LEN(TRIM(C42&amp;""))&gt;0,TRIM(C42&amp;"")&lt;&gt;"—",ISNUMBER(C42),LEN(TRIM(D42&amp;""))&gt;0,TRIM(D42&amp;"")&lt;&gt;"—"),"PASS","⚠ FAIL — "&amp;"a required cell is empty/placeholder or wrong type")</f>
        <v>PASS</v>
      </c>
    </row>
    <row r="43" customFormat="false" ht="15" hidden="false" customHeight="false" outlineLevel="0" collapsed="false">
      <c r="A43" s="11" t="s">
        <v>3978</v>
      </c>
      <c r="B43" s="32" t="s">
        <v>829</v>
      </c>
      <c r="C43" s="28" t="n">
        <v>1</v>
      </c>
      <c r="D43" s="15" t="s">
        <v>829</v>
      </c>
      <c r="E43" s="16" t="str">
        <f aca="false">IF(AND(LEN(TRIM(A43&amp;""))&gt;0,TRIM(A43&amp;"")&lt;&gt;"—",LEN(TRIM(B43&amp;""))&gt;0,TRIM(B43&amp;"")&lt;&gt;"—",LEN(TRIM(C43&amp;""))&gt;0,TRIM(C43&amp;"")&lt;&gt;"—",ISNUMBER(C43),LEN(TRIM(D43&amp;""))&gt;0,TRIM(D43&amp;"")&lt;&gt;"—"),"PASS","⚠ FAIL — "&amp;"a required cell is empty/placeholder or wrong type")</f>
        <v>PASS</v>
      </c>
    </row>
    <row r="44" customFormat="false" ht="15" hidden="false" customHeight="false" outlineLevel="0" collapsed="false">
      <c r="A44" s="11" t="s">
        <v>3979</v>
      </c>
      <c r="B44" s="32" t="s">
        <v>826</v>
      </c>
      <c r="C44" s="28" t="n">
        <v>1</v>
      </c>
      <c r="D44" s="15" t="s">
        <v>826</v>
      </c>
      <c r="E44" s="16" t="str">
        <f aca="false">IF(AND(LEN(TRIM(A44&amp;""))&gt;0,TRIM(A44&amp;"")&lt;&gt;"—",LEN(TRIM(B44&amp;""))&gt;0,TRIM(B44&amp;"")&lt;&gt;"—",LEN(TRIM(C44&amp;""))&gt;0,TRIM(C44&amp;"")&lt;&gt;"—",ISNUMBER(C44),LEN(TRIM(D44&amp;""))&gt;0,TRIM(D44&amp;"")&lt;&gt;"—"),"PASS","⚠ FAIL — "&amp;"a required cell is empty/placeholder or wrong type")</f>
        <v>PASS</v>
      </c>
    </row>
    <row r="45" customFormat="false" ht="15" hidden="false" customHeight="false" outlineLevel="0" collapsed="false">
      <c r="A45" s="11" t="s">
        <v>3980</v>
      </c>
      <c r="B45" s="32" t="s">
        <v>514</v>
      </c>
      <c r="C45" s="28" t="n">
        <v>1</v>
      </c>
      <c r="D45" s="15" t="s">
        <v>514</v>
      </c>
      <c r="E45" s="16" t="str">
        <f aca="false">IF(AND(LEN(TRIM(A45&amp;""))&gt;0,TRIM(A45&amp;"")&lt;&gt;"—",LEN(TRIM(B45&amp;""))&gt;0,TRIM(B45&amp;"")&lt;&gt;"—",LEN(TRIM(C45&amp;""))&gt;0,TRIM(C45&amp;"")&lt;&gt;"—",ISNUMBER(C45),LEN(TRIM(D45&amp;""))&gt;0,TRIM(D45&amp;"")&lt;&gt;"—"),"PASS","⚠ FAIL — "&amp;"a required cell is empty/placeholder or wrong type")</f>
        <v>PASS</v>
      </c>
    </row>
    <row r="46" customFormat="false" ht="15" hidden="false" customHeight="false" outlineLevel="0" collapsed="false">
      <c r="A46" s="11" t="s">
        <v>3981</v>
      </c>
      <c r="B46" s="32" t="s">
        <v>3982</v>
      </c>
      <c r="C46" s="28" t="n">
        <v>2</v>
      </c>
      <c r="D46" s="15" t="s">
        <v>848</v>
      </c>
      <c r="E46" s="16" t="str">
        <f aca="false">IF(AND(LEN(TRIM(A46&amp;""))&gt;0,TRIM(A46&amp;"")&lt;&gt;"—",LEN(TRIM(B46&amp;""))&gt;0,TRIM(B46&amp;"")&lt;&gt;"—",LEN(TRIM(C46&amp;""))&gt;0,TRIM(C46&amp;"")&lt;&gt;"—",ISNUMBER(C46),LEN(TRIM(D46&amp;""))&gt;0,TRIM(D46&amp;"")&lt;&gt;"—"),"PASS","⚠ FAIL — "&amp;"a required cell is empty/placeholder or wrong type")</f>
        <v>PASS</v>
      </c>
    </row>
    <row r="47" customFormat="false" ht="15" hidden="false" customHeight="false" outlineLevel="0" collapsed="false">
      <c r="A47" s="11" t="s">
        <v>2486</v>
      </c>
      <c r="B47" s="32" t="s">
        <v>3983</v>
      </c>
      <c r="C47" s="28" t="n">
        <v>1</v>
      </c>
      <c r="D47" s="15" t="s">
        <v>713</v>
      </c>
      <c r="E47" s="16" t="str">
        <f aca="false">IF(AND(LEN(TRIM(A47&amp;""))&gt;0,TRIM(A47&amp;"")&lt;&gt;"—",LEN(TRIM(B47&amp;""))&gt;0,TRIM(B47&amp;"")&lt;&gt;"—",LEN(TRIM(C47&amp;""))&gt;0,TRIM(C47&amp;"")&lt;&gt;"—",ISNUMBER(C47),LEN(TRIM(D47&amp;""))&gt;0,TRIM(D47&amp;"")&lt;&gt;"—"),"PASS","⚠ FAIL — "&amp;"a required cell is empty/placeholder or wrong type")</f>
        <v>PASS</v>
      </c>
    </row>
    <row r="48" customFormat="false" ht="15" hidden="false" customHeight="false" outlineLevel="0" collapsed="false">
      <c r="A48" s="11" t="s">
        <v>3984</v>
      </c>
      <c r="B48" s="32" t="s">
        <v>957</v>
      </c>
      <c r="C48" s="28" t="n">
        <v>1</v>
      </c>
      <c r="D48" s="15" t="s">
        <v>957</v>
      </c>
      <c r="E48" s="16" t="str">
        <f aca="false">IF(AND(LEN(TRIM(A48&amp;""))&gt;0,TRIM(A48&amp;"")&lt;&gt;"—",LEN(TRIM(B48&amp;""))&gt;0,TRIM(B48&amp;"")&lt;&gt;"—",LEN(TRIM(C48&amp;""))&gt;0,TRIM(C48&amp;"")&lt;&gt;"—",ISNUMBER(C48),LEN(TRIM(D48&amp;""))&gt;0,TRIM(D48&amp;"")&lt;&gt;"—"),"PASS","⚠ FAIL — "&amp;"a required cell is empty/placeholder or wrong type")</f>
        <v>PASS</v>
      </c>
    </row>
    <row r="49" customFormat="false" ht="15" hidden="false" customHeight="false" outlineLevel="0" collapsed="false">
      <c r="A49" s="11" t="s">
        <v>3985</v>
      </c>
      <c r="B49" s="32" t="s">
        <v>927</v>
      </c>
      <c r="C49" s="28" t="n">
        <v>1</v>
      </c>
      <c r="D49" s="15" t="s">
        <v>927</v>
      </c>
      <c r="E49" s="16" t="str">
        <f aca="false">IF(AND(LEN(TRIM(A49&amp;""))&gt;0,TRIM(A49&amp;"")&lt;&gt;"—",LEN(TRIM(B49&amp;""))&gt;0,TRIM(B49&amp;"")&lt;&gt;"—",LEN(TRIM(C49&amp;""))&gt;0,TRIM(C49&amp;"")&lt;&gt;"—",ISNUMBER(C49),LEN(TRIM(D49&amp;""))&gt;0,TRIM(D49&amp;"")&lt;&gt;"—"),"PASS","⚠ FAIL — "&amp;"a required cell is empty/placeholder or wrong type")</f>
        <v>PASS</v>
      </c>
    </row>
    <row r="50" customFormat="false" ht="15" hidden="false" customHeight="false" outlineLevel="0" collapsed="false">
      <c r="A50" s="11" t="s">
        <v>3986</v>
      </c>
      <c r="B50" s="32" t="s">
        <v>3987</v>
      </c>
      <c r="C50" s="28" t="n">
        <v>13</v>
      </c>
      <c r="D50" s="15" t="s">
        <v>861</v>
      </c>
      <c r="E50" s="16" t="str">
        <f aca="false">IF(AND(LEN(TRIM(A50&amp;""))&gt;0,TRIM(A50&amp;"")&lt;&gt;"—",LEN(TRIM(B50&amp;""))&gt;0,TRIM(B50&amp;"")&lt;&gt;"—",LEN(TRIM(C50&amp;""))&gt;0,TRIM(C50&amp;"")&lt;&gt;"—",ISNUMBER(C50),LEN(TRIM(D50&amp;""))&gt;0,TRIM(D50&amp;"")&lt;&gt;"—"),"PASS","⚠ FAIL — "&amp;"a required cell is empty/placeholder or wrong type")</f>
        <v>PASS</v>
      </c>
    </row>
    <row r="51" customFormat="false" ht="15" hidden="false" customHeight="false" outlineLevel="0" collapsed="false">
      <c r="A51" s="11" t="s">
        <v>3988</v>
      </c>
      <c r="B51" s="32" t="s">
        <v>895</v>
      </c>
      <c r="C51" s="28" t="n">
        <v>1</v>
      </c>
      <c r="D51" s="15" t="s">
        <v>895</v>
      </c>
      <c r="E51" s="16" t="str">
        <f aca="false">IF(AND(LEN(TRIM(A51&amp;""))&gt;0,TRIM(A51&amp;"")&lt;&gt;"—",LEN(TRIM(B51&amp;""))&gt;0,TRIM(B51&amp;"")&lt;&gt;"—",LEN(TRIM(C51&amp;""))&gt;0,TRIM(C51&amp;"")&lt;&gt;"—",ISNUMBER(C51),LEN(TRIM(D51&amp;""))&gt;0,TRIM(D51&amp;"")&lt;&gt;"—"),"PASS","⚠ FAIL — "&amp;"a required cell is empty/placeholder or wrong type")</f>
        <v>PASS</v>
      </c>
    </row>
    <row r="52" customFormat="false" ht="15" hidden="false" customHeight="false" outlineLevel="0" collapsed="false">
      <c r="A52" s="11" t="s">
        <v>3989</v>
      </c>
      <c r="B52" s="32" t="s">
        <v>913</v>
      </c>
      <c r="C52" s="28" t="n">
        <v>1</v>
      </c>
      <c r="D52" s="15" t="s">
        <v>913</v>
      </c>
      <c r="E52" s="16" t="str">
        <f aca="false">IF(AND(LEN(TRIM(A52&amp;""))&gt;0,TRIM(A52&amp;"")&lt;&gt;"—",LEN(TRIM(B52&amp;""))&gt;0,TRIM(B52&amp;"")&lt;&gt;"—",LEN(TRIM(C52&amp;""))&gt;0,TRIM(C52&amp;"")&lt;&gt;"—",ISNUMBER(C52),LEN(TRIM(D52&amp;""))&gt;0,TRIM(D52&amp;"")&lt;&gt;"—"),"PASS","⚠ FAIL — "&amp;"a required cell is empty/placeholder or wrong type")</f>
        <v>PASS</v>
      </c>
    </row>
    <row r="53" customFormat="false" ht="22.35" hidden="false" customHeight="false" outlineLevel="0" collapsed="false">
      <c r="A53" s="11" t="s">
        <v>3990</v>
      </c>
      <c r="B53" s="32" t="s">
        <v>1880</v>
      </c>
      <c r="C53" s="28" t="n">
        <v>1</v>
      </c>
      <c r="D53" s="15" t="s">
        <v>883</v>
      </c>
      <c r="E53" s="16" t="str">
        <f aca="false">IF(AND(LEN(TRIM(A53&amp;""))&gt;0,TRIM(A53&amp;"")&lt;&gt;"—",LEN(TRIM(B53&amp;""))&gt;0,TRIM(B53&amp;"")&lt;&gt;"—",LEN(TRIM(C53&amp;""))&gt;0,TRIM(C53&amp;"")&lt;&gt;"—",ISNUMBER(C53),LEN(TRIM(D53&amp;""))&gt;0,TRIM(D53&amp;"")&lt;&gt;"—"),"PASS","⚠ FAIL — "&amp;"a required cell is empty/placeholder or wrong type")</f>
        <v>PASS</v>
      </c>
    </row>
    <row r="54" customFormat="false" ht="22.35" hidden="false" customHeight="false" outlineLevel="0" collapsed="false">
      <c r="A54" s="11" t="s">
        <v>3991</v>
      </c>
      <c r="B54" s="32" t="s">
        <v>3992</v>
      </c>
      <c r="C54" s="28" t="n">
        <v>1</v>
      </c>
      <c r="D54" s="15" t="s">
        <v>882</v>
      </c>
      <c r="E54" s="16" t="str">
        <f aca="false">IF(AND(LEN(TRIM(A54&amp;""))&gt;0,TRIM(A54&amp;"")&lt;&gt;"—",LEN(TRIM(B54&amp;""))&gt;0,TRIM(B54&amp;"")&lt;&gt;"—",LEN(TRIM(C54&amp;""))&gt;0,TRIM(C54&amp;"")&lt;&gt;"—",ISNUMBER(C54),LEN(TRIM(D54&amp;""))&gt;0,TRIM(D54&amp;"")&lt;&gt;"—"),"PASS","⚠ FAIL — "&amp;"a required cell is empty/placeholder or wrong type")</f>
        <v>PASS</v>
      </c>
    </row>
    <row r="55" customFormat="false" ht="22.35" hidden="false" customHeight="false" outlineLevel="0" collapsed="false">
      <c r="A55" s="11" t="s">
        <v>3993</v>
      </c>
      <c r="B55" s="32" t="s">
        <v>850</v>
      </c>
      <c r="C55" s="28" t="n">
        <v>2</v>
      </c>
      <c r="D55" s="15" t="s">
        <v>3994</v>
      </c>
      <c r="E55" s="16" t="str">
        <f aca="false">IF(AND(LEN(TRIM(A55&amp;""))&gt;0,TRIM(A55&amp;"")&lt;&gt;"—",LEN(TRIM(B55&amp;""))&gt;0,TRIM(B55&amp;"")&lt;&gt;"—",LEN(TRIM(C55&amp;""))&gt;0,TRIM(C55&amp;"")&lt;&gt;"—",ISNUMBER(C55),LEN(TRIM(D55&amp;""))&gt;0,TRIM(D55&amp;"")&lt;&gt;"—"),"PASS","⚠ FAIL — "&amp;"a required cell is empty/placeholder or wrong type")</f>
        <v>PASS</v>
      </c>
    </row>
    <row r="56" customFormat="false" ht="15" hidden="false" customHeight="false" outlineLevel="0" collapsed="false">
      <c r="A56" s="11" t="s">
        <v>3995</v>
      </c>
      <c r="B56" s="32" t="s">
        <v>843</v>
      </c>
      <c r="C56" s="28" t="n">
        <v>1</v>
      </c>
      <c r="D56" s="15" t="s">
        <v>843</v>
      </c>
      <c r="E56" s="16" t="str">
        <f aca="false">IF(AND(LEN(TRIM(A56&amp;""))&gt;0,TRIM(A56&amp;"")&lt;&gt;"—",LEN(TRIM(B56&amp;""))&gt;0,TRIM(B56&amp;"")&lt;&gt;"—",LEN(TRIM(C56&amp;""))&gt;0,TRIM(C56&amp;"")&lt;&gt;"—",ISNUMBER(C56),LEN(TRIM(D56&amp;""))&gt;0,TRIM(D56&amp;"")&lt;&gt;"—"),"PASS","⚠ FAIL — "&amp;"a required cell is empty/placeholder or wrong type")</f>
        <v>PASS</v>
      </c>
    </row>
    <row r="57" customFormat="false" ht="15" hidden="false" customHeight="false" outlineLevel="0" collapsed="false">
      <c r="A57" s="11" t="s">
        <v>3996</v>
      </c>
      <c r="B57" s="32" t="s">
        <v>820</v>
      </c>
      <c r="C57" s="28" t="n">
        <v>1</v>
      </c>
      <c r="D57" s="15" t="s">
        <v>820</v>
      </c>
      <c r="E57" s="16" t="str">
        <f aca="false">IF(AND(LEN(TRIM(A57&amp;""))&gt;0,TRIM(A57&amp;"")&lt;&gt;"—",LEN(TRIM(B57&amp;""))&gt;0,TRIM(B57&amp;"")&lt;&gt;"—",LEN(TRIM(C57&amp;""))&gt;0,TRIM(C57&amp;"")&lt;&gt;"—",ISNUMBER(C57),LEN(TRIM(D57&amp;""))&gt;0,TRIM(D57&amp;"")&lt;&gt;"—"),"PASS","⚠ FAIL — "&amp;"a required cell is empty/placeholder or wrong type")</f>
        <v>PASS</v>
      </c>
    </row>
    <row r="58" customFormat="false" ht="15" hidden="false" customHeight="false" outlineLevel="0" collapsed="false">
      <c r="A58" s="11" t="s">
        <v>3997</v>
      </c>
      <c r="B58" s="32" t="s">
        <v>831</v>
      </c>
      <c r="C58" s="28" t="n">
        <v>1</v>
      </c>
      <c r="D58" s="15" t="s">
        <v>831</v>
      </c>
      <c r="E58" s="16" t="str">
        <f aca="false">IF(AND(LEN(TRIM(A58&amp;""))&gt;0,TRIM(A58&amp;"")&lt;&gt;"—",LEN(TRIM(B58&amp;""))&gt;0,TRIM(B58&amp;"")&lt;&gt;"—",LEN(TRIM(C58&amp;""))&gt;0,TRIM(C58&amp;"")&lt;&gt;"—",ISNUMBER(C58),LEN(TRIM(D58&amp;""))&gt;0,TRIM(D58&amp;"")&lt;&gt;"—"),"PASS","⚠ FAIL — "&amp;"a required cell is empty/placeholder or wrong type")</f>
        <v>PASS</v>
      </c>
    </row>
    <row r="59" customFormat="false" ht="15" hidden="false" customHeight="false" outlineLevel="0" collapsed="false">
      <c r="A59" s="11" t="s">
        <v>3998</v>
      </c>
      <c r="B59" s="32" t="s">
        <v>938</v>
      </c>
      <c r="C59" s="28" t="n">
        <v>1</v>
      </c>
      <c r="D59" s="15" t="s">
        <v>938</v>
      </c>
      <c r="E59" s="16" t="str">
        <f aca="false">IF(AND(LEN(TRIM(A59&amp;""))&gt;0,TRIM(A59&amp;"")&lt;&gt;"—",LEN(TRIM(B59&amp;""))&gt;0,TRIM(B59&amp;"")&lt;&gt;"—",LEN(TRIM(C59&amp;""))&gt;0,TRIM(C59&amp;"")&lt;&gt;"—",ISNUMBER(C59),LEN(TRIM(D59&amp;""))&gt;0,TRIM(D59&amp;"")&lt;&gt;"—"),"PASS","⚠ FAIL — "&amp;"a required cell is empty/placeholder or wrong type")</f>
        <v>PASS</v>
      </c>
    </row>
    <row r="60" customFormat="false" ht="15" hidden="false" customHeight="false" outlineLevel="0" collapsed="false">
      <c r="A60" s="11" t="s">
        <v>3999</v>
      </c>
      <c r="B60" s="32" t="s">
        <v>903</v>
      </c>
      <c r="C60" s="28" t="n">
        <v>1</v>
      </c>
      <c r="D60" s="15" t="s">
        <v>903</v>
      </c>
      <c r="E60" s="16" t="str">
        <f aca="false">IF(AND(LEN(TRIM(A60&amp;""))&gt;0,TRIM(A60&amp;"")&lt;&gt;"—",LEN(TRIM(B60&amp;""))&gt;0,TRIM(B60&amp;"")&lt;&gt;"—",LEN(TRIM(C60&amp;""))&gt;0,TRIM(C60&amp;"")&lt;&gt;"—",ISNUMBER(C60),LEN(TRIM(D60&amp;""))&gt;0,TRIM(D60&amp;"")&lt;&gt;"—"),"PASS","⚠ FAIL — "&amp;"a required cell is empty/placeholder or wrong type")</f>
        <v>PASS</v>
      </c>
    </row>
    <row r="61" customFormat="false" ht="15" hidden="false" customHeight="false" outlineLevel="0" collapsed="false">
      <c r="A61" s="11" t="s">
        <v>4000</v>
      </c>
      <c r="B61" s="32" t="s">
        <v>463</v>
      </c>
      <c r="C61" s="28" t="n">
        <v>1</v>
      </c>
      <c r="D61" s="15" t="s">
        <v>463</v>
      </c>
      <c r="E61" s="16" t="str">
        <f aca="false">IF(AND(LEN(TRIM(A61&amp;""))&gt;0,TRIM(A61&amp;"")&lt;&gt;"—",LEN(TRIM(B61&amp;""))&gt;0,TRIM(B61&amp;"")&lt;&gt;"—",LEN(TRIM(C61&amp;""))&gt;0,TRIM(C61&amp;"")&lt;&gt;"—",ISNUMBER(C61),LEN(TRIM(D61&amp;""))&gt;0,TRIM(D61&amp;"")&lt;&gt;"—"),"PASS","⚠ FAIL — "&amp;"a required cell is empty/placeholder or wrong type")</f>
        <v>PASS</v>
      </c>
    </row>
    <row r="62" customFormat="false" ht="15" hidden="false" customHeight="false" outlineLevel="0" collapsed="false">
      <c r="A62" s="11" t="s">
        <v>4001</v>
      </c>
      <c r="B62" s="32" t="s">
        <v>930</v>
      </c>
      <c r="C62" s="28" t="n">
        <v>1</v>
      </c>
      <c r="D62" s="15" t="s">
        <v>930</v>
      </c>
      <c r="E62" s="16" t="str">
        <f aca="false">IF(AND(LEN(TRIM(A62&amp;""))&gt;0,TRIM(A62&amp;"")&lt;&gt;"—",LEN(TRIM(B62&amp;""))&gt;0,TRIM(B62&amp;"")&lt;&gt;"—",LEN(TRIM(C62&amp;""))&gt;0,TRIM(C62&amp;"")&lt;&gt;"—",ISNUMBER(C62),LEN(TRIM(D62&amp;""))&gt;0,TRIM(D62&amp;"")&lt;&gt;"—"),"PASS","⚠ FAIL — "&amp;"a required cell is empty/placeholder or wrong type")</f>
        <v>PASS</v>
      </c>
    </row>
    <row r="63" customFormat="false" ht="15" hidden="false" customHeight="false" outlineLevel="0" collapsed="false">
      <c r="A63" s="11" t="s">
        <v>4002</v>
      </c>
      <c r="B63" s="32" t="s">
        <v>433</v>
      </c>
      <c r="C63" s="28" t="n">
        <v>1</v>
      </c>
      <c r="D63" s="15" t="s">
        <v>433</v>
      </c>
      <c r="E63" s="16" t="str">
        <f aca="false">IF(AND(LEN(TRIM(A63&amp;""))&gt;0,TRIM(A63&amp;"")&lt;&gt;"—",LEN(TRIM(B63&amp;""))&gt;0,TRIM(B63&amp;"")&lt;&gt;"—",LEN(TRIM(C63&amp;""))&gt;0,TRIM(C63&amp;"")&lt;&gt;"—",ISNUMBER(C63),LEN(TRIM(D63&amp;""))&gt;0,TRIM(D63&amp;"")&lt;&gt;"—"),"PASS","⚠ FAIL — "&amp;"a required cell is empty/placeholder or wrong type")</f>
        <v>PASS</v>
      </c>
    </row>
    <row r="64" customFormat="false" ht="15" hidden="false" customHeight="false" outlineLevel="0" collapsed="false">
      <c r="A64" s="11" t="s">
        <v>4003</v>
      </c>
      <c r="B64" s="32" t="s">
        <v>4004</v>
      </c>
      <c r="C64" s="28" t="n">
        <v>8</v>
      </c>
      <c r="D64" s="15" t="s">
        <v>601</v>
      </c>
      <c r="E64" s="16" t="str">
        <f aca="false">IF(AND(LEN(TRIM(A64&amp;""))&gt;0,TRIM(A64&amp;"")&lt;&gt;"—",LEN(TRIM(B64&amp;""))&gt;0,TRIM(B64&amp;"")&lt;&gt;"—",LEN(TRIM(C64&amp;""))&gt;0,TRIM(C64&amp;"")&lt;&gt;"—",ISNUMBER(C64),LEN(TRIM(D64&amp;""))&gt;0,TRIM(D64&amp;"")&lt;&gt;"—"),"PASS","⚠ FAIL — "&amp;"a required cell is empty/placeholder or wrong type")</f>
        <v>PASS</v>
      </c>
    </row>
    <row r="65" customFormat="false" ht="15" hidden="false" customHeight="false" outlineLevel="0" collapsed="false">
      <c r="A65" s="11" t="s">
        <v>4005</v>
      </c>
      <c r="B65" s="32" t="s">
        <v>858</v>
      </c>
      <c r="C65" s="28" t="n">
        <v>1</v>
      </c>
      <c r="D65" s="15" t="s">
        <v>858</v>
      </c>
      <c r="E65" s="16" t="str">
        <f aca="false">IF(AND(LEN(TRIM(A65&amp;""))&gt;0,TRIM(A65&amp;"")&lt;&gt;"—",LEN(TRIM(B65&amp;""))&gt;0,TRIM(B65&amp;"")&lt;&gt;"—",LEN(TRIM(C65&amp;""))&gt;0,TRIM(C65&amp;"")&lt;&gt;"—",ISNUMBER(C65),LEN(TRIM(D65&amp;""))&gt;0,TRIM(D65&amp;"")&lt;&gt;"—"),"PASS","⚠ FAIL — "&amp;"a required cell is empty/placeholder or wrong type")</f>
        <v>PASS</v>
      </c>
    </row>
    <row r="66" customFormat="false" ht="15" hidden="false" customHeight="false" outlineLevel="0" collapsed="false">
      <c r="A66" s="11" t="s">
        <v>4006</v>
      </c>
      <c r="B66" s="32" t="s">
        <v>926</v>
      </c>
      <c r="C66" s="28" t="n">
        <v>1</v>
      </c>
      <c r="D66" s="15" t="s">
        <v>926</v>
      </c>
      <c r="E66" s="16" t="str">
        <f aca="false">IF(AND(LEN(TRIM(A66&amp;""))&gt;0,TRIM(A66&amp;"")&lt;&gt;"—",LEN(TRIM(B66&amp;""))&gt;0,TRIM(B66&amp;"")&lt;&gt;"—",LEN(TRIM(C66&amp;""))&gt;0,TRIM(C66&amp;"")&lt;&gt;"—",ISNUMBER(C66),LEN(TRIM(D66&amp;""))&gt;0,TRIM(D66&amp;"")&lt;&gt;"—"),"PASS","⚠ FAIL — "&amp;"a required cell is empty/placeholder or wrong type")</f>
        <v>PASS</v>
      </c>
    </row>
    <row r="67" customFormat="false" ht="15" hidden="false" customHeight="false" outlineLevel="0" collapsed="false">
      <c r="A67" s="11" t="s">
        <v>4007</v>
      </c>
      <c r="B67" s="32" t="s">
        <v>4008</v>
      </c>
      <c r="C67" s="28" t="n">
        <v>1</v>
      </c>
      <c r="D67" s="15" t="s">
        <v>906</v>
      </c>
      <c r="E67" s="16" t="str">
        <f aca="false">IF(AND(LEN(TRIM(A67&amp;""))&gt;0,TRIM(A67&amp;"")&lt;&gt;"—",LEN(TRIM(B67&amp;""))&gt;0,TRIM(B67&amp;"")&lt;&gt;"—",LEN(TRIM(C67&amp;""))&gt;0,TRIM(C67&amp;"")&lt;&gt;"—",ISNUMBER(C67),LEN(TRIM(D67&amp;""))&gt;0,TRIM(D67&amp;"")&lt;&gt;"—"),"PASS","⚠ FAIL — "&amp;"a required cell is empty/placeholder or wrong type")</f>
        <v>PASS</v>
      </c>
    </row>
    <row r="68" customFormat="false" ht="15" hidden="false" customHeight="false" outlineLevel="0" collapsed="false">
      <c r="A68" s="11" t="s">
        <v>4009</v>
      </c>
      <c r="B68" s="32" t="s">
        <v>4010</v>
      </c>
      <c r="C68" s="28" t="n">
        <v>1</v>
      </c>
      <c r="D68" s="15" t="s">
        <v>890</v>
      </c>
      <c r="E68" s="16" t="str">
        <f aca="false">IF(AND(LEN(TRIM(A68&amp;""))&gt;0,TRIM(A68&amp;"")&lt;&gt;"—",LEN(TRIM(B68&amp;""))&gt;0,TRIM(B68&amp;"")&lt;&gt;"—",LEN(TRIM(C68&amp;""))&gt;0,TRIM(C68&amp;"")&lt;&gt;"—",ISNUMBER(C68),LEN(TRIM(D68&amp;""))&gt;0,TRIM(D68&amp;"")&lt;&gt;"—"),"PASS","⚠ FAIL — "&amp;"a required cell is empty/placeholder or wrong type")</f>
        <v>PASS</v>
      </c>
    </row>
    <row r="69" customFormat="false" ht="15" hidden="false" customHeight="false" outlineLevel="0" collapsed="false">
      <c r="A69" s="11" t="s">
        <v>4011</v>
      </c>
      <c r="B69" s="32" t="s">
        <v>887</v>
      </c>
      <c r="C69" s="28" t="n">
        <v>1</v>
      </c>
      <c r="D69" s="15" t="s">
        <v>887</v>
      </c>
      <c r="E69" s="16" t="str">
        <f aca="false">IF(AND(LEN(TRIM(A69&amp;""))&gt;0,TRIM(A69&amp;"")&lt;&gt;"—",LEN(TRIM(B69&amp;""))&gt;0,TRIM(B69&amp;"")&lt;&gt;"—",LEN(TRIM(C69&amp;""))&gt;0,TRIM(C69&amp;"")&lt;&gt;"—",ISNUMBER(C69),LEN(TRIM(D69&amp;""))&gt;0,TRIM(D69&amp;"")&lt;&gt;"—"),"PASS","⚠ FAIL — "&amp;"a required cell is empty/placeholder or wrong type")</f>
        <v>PASS</v>
      </c>
    </row>
    <row r="70" customFormat="false" ht="15" hidden="false" customHeight="false" outlineLevel="0" collapsed="false">
      <c r="A70" s="11" t="s">
        <v>4012</v>
      </c>
      <c r="B70" s="32" t="s">
        <v>4013</v>
      </c>
      <c r="C70" s="28" t="n">
        <v>1</v>
      </c>
      <c r="D70" s="15" t="s">
        <v>872</v>
      </c>
      <c r="E70" s="16" t="str">
        <f aca="false">IF(AND(LEN(TRIM(A70&amp;""))&gt;0,TRIM(A70&amp;"")&lt;&gt;"—",LEN(TRIM(B70&amp;""))&gt;0,TRIM(B70&amp;"")&lt;&gt;"—",LEN(TRIM(C70&amp;""))&gt;0,TRIM(C70&amp;"")&lt;&gt;"—",ISNUMBER(C70),LEN(TRIM(D70&amp;""))&gt;0,TRIM(D70&amp;"")&lt;&gt;"—"),"PASS","⚠ FAIL — "&amp;"a required cell is empty/placeholder or wrong type")</f>
        <v>PASS</v>
      </c>
    </row>
    <row r="71" customFormat="false" ht="15" hidden="false" customHeight="false" outlineLevel="0" collapsed="false">
      <c r="A71" s="11" t="s">
        <v>4014</v>
      </c>
      <c r="B71" s="32" t="s">
        <v>857</v>
      </c>
      <c r="C71" s="28" t="n">
        <v>1</v>
      </c>
      <c r="D71" s="15" t="s">
        <v>857</v>
      </c>
      <c r="E71" s="16" t="str">
        <f aca="false">IF(AND(LEN(TRIM(A71&amp;""))&gt;0,TRIM(A71&amp;"")&lt;&gt;"—",LEN(TRIM(B71&amp;""))&gt;0,TRIM(B71&amp;"")&lt;&gt;"—",LEN(TRIM(C71&amp;""))&gt;0,TRIM(C71&amp;"")&lt;&gt;"—",ISNUMBER(C71),LEN(TRIM(D71&amp;""))&gt;0,TRIM(D71&amp;"")&lt;&gt;"—"),"PASS","⚠ FAIL — "&amp;"a required cell is empty/placeholder or wrong type")</f>
        <v>PASS</v>
      </c>
    </row>
    <row r="72" customFormat="false" ht="15" hidden="false" customHeight="false" outlineLevel="0" collapsed="false">
      <c r="A72" s="11" t="s">
        <v>4015</v>
      </c>
      <c r="B72" s="32" t="s">
        <v>510</v>
      </c>
      <c r="C72" s="28" t="n">
        <v>1</v>
      </c>
      <c r="D72" s="15" t="s">
        <v>510</v>
      </c>
      <c r="E72" s="16" t="str">
        <f aca="false">IF(AND(LEN(TRIM(A72&amp;""))&gt;0,TRIM(A72&amp;"")&lt;&gt;"—",LEN(TRIM(B72&amp;""))&gt;0,TRIM(B72&amp;"")&lt;&gt;"—",LEN(TRIM(C72&amp;""))&gt;0,TRIM(C72&amp;"")&lt;&gt;"—",ISNUMBER(C72),LEN(TRIM(D72&amp;""))&gt;0,TRIM(D72&amp;"")&lt;&gt;"—"),"PASS","⚠ FAIL — "&amp;"a required cell is empty/placeholder or wrong type")</f>
        <v>PASS</v>
      </c>
    </row>
    <row r="73" customFormat="false" ht="22.35" hidden="false" customHeight="false" outlineLevel="0" collapsed="false">
      <c r="A73" s="11" t="s">
        <v>4016</v>
      </c>
      <c r="B73" s="32" t="s">
        <v>817</v>
      </c>
      <c r="C73" s="28" t="n">
        <v>2</v>
      </c>
      <c r="D73" s="15" t="s">
        <v>4017</v>
      </c>
      <c r="E73" s="16" t="str">
        <f aca="false">IF(AND(LEN(TRIM(A73&amp;""))&gt;0,TRIM(A73&amp;"")&lt;&gt;"—",LEN(TRIM(B73&amp;""))&gt;0,TRIM(B73&amp;"")&lt;&gt;"—",LEN(TRIM(C73&amp;""))&gt;0,TRIM(C73&amp;"")&lt;&gt;"—",ISNUMBER(C73),LEN(TRIM(D73&amp;""))&gt;0,TRIM(D73&amp;"")&lt;&gt;"—"),"PASS","⚠ FAIL — "&amp;"a required cell is empty/placeholder or wrong type")</f>
        <v>PASS</v>
      </c>
    </row>
    <row r="74" customFormat="false" ht="15" hidden="false" customHeight="false" outlineLevel="0" collapsed="false">
      <c r="A74" s="11" t="s">
        <v>4018</v>
      </c>
      <c r="B74" s="32" t="s">
        <v>840</v>
      </c>
      <c r="C74" s="28" t="n">
        <v>200</v>
      </c>
      <c r="D74" s="15" t="s">
        <v>840</v>
      </c>
      <c r="E74" s="16" t="str">
        <f aca="false">IF(AND(LEN(TRIM(A74&amp;""))&gt;0,TRIM(A74&amp;"")&lt;&gt;"—",LEN(TRIM(B74&amp;""))&gt;0,TRIM(B74&amp;"")&lt;&gt;"—",LEN(TRIM(C74&amp;""))&gt;0,TRIM(C74&amp;"")&lt;&gt;"—",ISNUMBER(C74),LEN(TRIM(D74&amp;""))&gt;0,TRIM(D74&amp;"")&lt;&gt;"—"),"PASS","⚠ FAIL — "&amp;"a required cell is empty/placeholder or wrong type")</f>
        <v>PASS</v>
      </c>
    </row>
    <row r="75" customFormat="false" ht="15" hidden="false" customHeight="false" outlineLevel="0" collapsed="false">
      <c r="A75" s="11" t="s">
        <v>480</v>
      </c>
      <c r="B75" s="32" t="s">
        <v>4019</v>
      </c>
      <c r="C75" s="28" t="n">
        <v>200</v>
      </c>
      <c r="D75" s="15" t="s">
        <v>4019</v>
      </c>
      <c r="E75" s="72" t="str">
        <f aca="false">IF(AND(LEN(TRIM(A75&amp;""))&gt;0,TRIM(A75&amp;"")&lt;&gt;"—",TRIM(A75&amp;"")&lt;&gt;"—",LEN(TRIM(B75&amp;""))&gt;0,TRIM(B75&amp;"")&lt;&gt;"—",LEN(TRIM(C75&amp;""))&gt;0,TRIM(C75&amp;"")&lt;&gt;"—",ISNUMBER(C75),LEN(TRIM(D75&amp;""))&gt;0,TRIM(D75&amp;"")&lt;&gt;"—"),"PASS","⚠ FAIL — "&amp;"'Tag' placeholder '—'")</f>
        <v>⚠ FAIL — 'Tag' placeholder '—'</v>
      </c>
    </row>
    <row r="76" customFormat="false" ht="15" hidden="false" customHeight="false" outlineLevel="0" collapsed="false">
      <c r="A76" s="11" t="s">
        <v>4020</v>
      </c>
      <c r="B76" s="32" t="s">
        <v>851</v>
      </c>
      <c r="C76" s="28" t="n">
        <v>1</v>
      </c>
      <c r="D76" s="15" t="s">
        <v>851</v>
      </c>
      <c r="E76" s="16" t="str">
        <f aca="false">IF(AND(LEN(TRIM(A76&amp;""))&gt;0,TRIM(A76&amp;"")&lt;&gt;"—",LEN(TRIM(B76&amp;""))&gt;0,TRIM(B76&amp;"")&lt;&gt;"—",LEN(TRIM(C76&amp;""))&gt;0,TRIM(C76&amp;"")&lt;&gt;"—",ISNUMBER(C76),LEN(TRIM(D76&amp;""))&gt;0,TRIM(D76&amp;"")&lt;&gt;"—"),"PASS","⚠ FAIL — "&amp;"a required cell is empty/placeholder or wrong type")</f>
        <v>PASS</v>
      </c>
    </row>
    <row r="77" customFormat="false" ht="15" hidden="false" customHeight="false" outlineLevel="0" collapsed="false">
      <c r="A77" s="11" t="s">
        <v>3137</v>
      </c>
      <c r="B77" s="32" t="s">
        <v>884</v>
      </c>
      <c r="C77" s="28" t="n">
        <v>1</v>
      </c>
      <c r="D77" s="15" t="s">
        <v>884</v>
      </c>
      <c r="E77" s="16" t="str">
        <f aca="false">IF(AND(LEN(TRIM(A77&amp;""))&gt;0,TRIM(A77&amp;"")&lt;&gt;"—",LEN(TRIM(B77&amp;""))&gt;0,TRIM(B77&amp;"")&lt;&gt;"—",LEN(TRIM(C77&amp;""))&gt;0,TRIM(C77&amp;"")&lt;&gt;"—",ISNUMBER(C77),LEN(TRIM(D77&amp;""))&gt;0,TRIM(D77&amp;"")&lt;&gt;"—"),"PASS","⚠ FAIL — "&amp;"a required cell is empty/placeholder or wrong type")</f>
        <v>PASS</v>
      </c>
    </row>
    <row r="78" customFormat="false" ht="15" hidden="false" customHeight="false" outlineLevel="0" collapsed="false">
      <c r="A78" s="11" t="s">
        <v>4021</v>
      </c>
      <c r="B78" s="32" t="s">
        <v>4022</v>
      </c>
      <c r="C78" s="28" t="n">
        <v>1</v>
      </c>
      <c r="D78" s="15" t="s">
        <v>911</v>
      </c>
      <c r="E78" s="16" t="str">
        <f aca="false">IF(AND(LEN(TRIM(A78&amp;""))&gt;0,TRIM(A78&amp;"")&lt;&gt;"—",LEN(TRIM(B78&amp;""))&gt;0,TRIM(B78&amp;"")&lt;&gt;"—",LEN(TRIM(C78&amp;""))&gt;0,TRIM(C78&amp;"")&lt;&gt;"—",ISNUMBER(C78),LEN(TRIM(D78&amp;""))&gt;0,TRIM(D78&amp;"")&lt;&gt;"—"),"PASS","⚠ FAIL — "&amp;"a required cell is empty/placeholder or wrong type")</f>
        <v>PASS</v>
      </c>
    </row>
    <row r="79" customFormat="false" ht="15" hidden="false" customHeight="false" outlineLevel="0" collapsed="false">
      <c r="A79" s="11" t="s">
        <v>4023</v>
      </c>
      <c r="B79" s="32" t="s">
        <v>4024</v>
      </c>
      <c r="C79" s="28" t="n">
        <v>17</v>
      </c>
      <c r="D79" s="15" t="s">
        <v>875</v>
      </c>
      <c r="E79" s="16" t="str">
        <f aca="false">IF(AND(LEN(TRIM(A79&amp;""))&gt;0,TRIM(A79&amp;"")&lt;&gt;"—",LEN(TRIM(B79&amp;""))&gt;0,TRIM(B79&amp;"")&lt;&gt;"—",LEN(TRIM(C79&amp;""))&gt;0,TRIM(C79&amp;"")&lt;&gt;"—",ISNUMBER(C79),LEN(TRIM(D79&amp;""))&gt;0,TRIM(D79&amp;"")&lt;&gt;"—"),"PASS","⚠ FAIL — "&amp;"a required cell is empty/placeholder or wrong type")</f>
        <v>PASS</v>
      </c>
    </row>
    <row r="80" customFormat="false" ht="15" hidden="false" customHeight="false" outlineLevel="0" collapsed="false">
      <c r="A80" s="11" t="s">
        <v>3136</v>
      </c>
      <c r="B80" s="32" t="s">
        <v>834</v>
      </c>
      <c r="C80" s="28" t="n">
        <v>1</v>
      </c>
      <c r="D80" s="15" t="s">
        <v>834</v>
      </c>
      <c r="E80" s="16" t="str">
        <f aca="false">IF(AND(LEN(TRIM(A80&amp;""))&gt;0,TRIM(A80&amp;"")&lt;&gt;"—",LEN(TRIM(B80&amp;""))&gt;0,TRIM(B80&amp;"")&lt;&gt;"—",LEN(TRIM(C80&amp;""))&gt;0,TRIM(C80&amp;"")&lt;&gt;"—",ISNUMBER(C80),LEN(TRIM(D80&amp;""))&gt;0,TRIM(D80&amp;"")&lt;&gt;"—"),"PASS","⚠ FAIL — "&amp;"a required cell is empty/placeholder or wrong type")</f>
        <v>PASS</v>
      </c>
    </row>
    <row r="81" customFormat="false" ht="15" hidden="false" customHeight="false" outlineLevel="0" collapsed="false">
      <c r="A81" s="11" t="s">
        <v>4025</v>
      </c>
      <c r="B81" s="32" t="s">
        <v>4026</v>
      </c>
      <c r="C81" s="28" t="n">
        <v>1</v>
      </c>
      <c r="D81" s="15" t="s">
        <v>734</v>
      </c>
      <c r="E81" s="16" t="str">
        <f aca="false">IF(AND(LEN(TRIM(A81&amp;""))&gt;0,TRIM(A81&amp;"")&lt;&gt;"—",LEN(TRIM(B81&amp;""))&gt;0,TRIM(B81&amp;"")&lt;&gt;"—",LEN(TRIM(C81&amp;""))&gt;0,TRIM(C81&amp;"")&lt;&gt;"—",ISNUMBER(C81),LEN(TRIM(D81&amp;""))&gt;0,TRIM(D81&amp;"")&lt;&gt;"—"),"PASS","⚠ FAIL — "&amp;"a required cell is empty/placeholder or wrong type")</f>
        <v>PASS</v>
      </c>
    </row>
    <row r="82" customFormat="false" ht="15" hidden="false" customHeight="false" outlineLevel="0" collapsed="false">
      <c r="A82" s="11" t="s">
        <v>4027</v>
      </c>
      <c r="B82" s="32" t="s">
        <v>4028</v>
      </c>
      <c r="C82" s="28" t="n">
        <v>1</v>
      </c>
      <c r="D82" s="15" t="s">
        <v>747</v>
      </c>
      <c r="E82" s="16" t="str">
        <f aca="false">IF(AND(LEN(TRIM(A82&amp;""))&gt;0,TRIM(A82&amp;"")&lt;&gt;"—",LEN(TRIM(B82&amp;""))&gt;0,TRIM(B82&amp;"")&lt;&gt;"—",LEN(TRIM(C82&amp;""))&gt;0,TRIM(C82&amp;"")&lt;&gt;"—",ISNUMBER(C82),LEN(TRIM(D82&amp;""))&gt;0,TRIM(D82&amp;"")&lt;&gt;"—"),"PASS","⚠ FAIL — "&amp;"a required cell is empty/placeholder or wrong type")</f>
        <v>PASS</v>
      </c>
    </row>
    <row r="83" customFormat="false" ht="15" hidden="false" customHeight="false" outlineLevel="0" collapsed="false">
      <c r="A83" s="11" t="s">
        <v>4029</v>
      </c>
      <c r="B83" s="32" t="s">
        <v>4030</v>
      </c>
      <c r="C83" s="28" t="n">
        <v>1</v>
      </c>
      <c r="D83" s="15" t="s">
        <v>473</v>
      </c>
      <c r="E83" s="16" t="str">
        <f aca="false">IF(AND(LEN(TRIM(A83&amp;""))&gt;0,TRIM(A83&amp;"")&lt;&gt;"—",LEN(TRIM(B83&amp;""))&gt;0,TRIM(B83&amp;"")&lt;&gt;"—",LEN(TRIM(C83&amp;""))&gt;0,TRIM(C83&amp;"")&lt;&gt;"—",ISNUMBER(C83),LEN(TRIM(D83&amp;""))&gt;0,TRIM(D83&amp;"")&lt;&gt;"—"),"PASS","⚠ FAIL — "&amp;"a required cell is empty/placeholder or wrong type")</f>
        <v>PASS</v>
      </c>
    </row>
    <row r="84" customFormat="false" ht="15" hidden="false" customHeight="false" outlineLevel="0" collapsed="false">
      <c r="A84" s="11" t="s">
        <v>4031</v>
      </c>
      <c r="B84" s="32" t="s">
        <v>889</v>
      </c>
      <c r="C84" s="28" t="n">
        <v>1</v>
      </c>
      <c r="D84" s="15" t="s">
        <v>889</v>
      </c>
      <c r="E84" s="16" t="str">
        <f aca="false">IF(AND(LEN(TRIM(A84&amp;""))&gt;0,TRIM(A84&amp;"")&lt;&gt;"—",LEN(TRIM(B84&amp;""))&gt;0,TRIM(B84&amp;"")&lt;&gt;"—",LEN(TRIM(C84&amp;""))&gt;0,TRIM(C84&amp;"")&lt;&gt;"—",ISNUMBER(C84),LEN(TRIM(D84&amp;""))&gt;0,TRIM(D84&amp;"")&lt;&gt;"—"),"PASS","⚠ FAIL — "&amp;"a required cell is empty/placeholder or wrong type")</f>
        <v>PASS</v>
      </c>
    </row>
    <row r="85" customFormat="false" ht="15" hidden="false" customHeight="false" outlineLevel="0" collapsed="false">
      <c r="A85" s="11" t="s">
        <v>4032</v>
      </c>
      <c r="B85" s="32" t="s">
        <v>4033</v>
      </c>
      <c r="C85" s="28" t="n">
        <v>1</v>
      </c>
      <c r="D85" s="15" t="s">
        <v>459</v>
      </c>
      <c r="E85" s="16" t="str">
        <f aca="false">IF(AND(LEN(TRIM(A85&amp;""))&gt;0,TRIM(A85&amp;"")&lt;&gt;"—",LEN(TRIM(B85&amp;""))&gt;0,TRIM(B85&amp;"")&lt;&gt;"—",LEN(TRIM(C85&amp;""))&gt;0,TRIM(C85&amp;"")&lt;&gt;"—",ISNUMBER(C85),LEN(TRIM(D85&amp;""))&gt;0,TRIM(D85&amp;"")&lt;&gt;"—"),"PASS","⚠ FAIL — "&amp;"a required cell is empty/placeholder or wrong type")</f>
        <v>PASS</v>
      </c>
    </row>
    <row r="86" customFormat="false" ht="15" hidden="false" customHeight="false" outlineLevel="0" collapsed="false">
      <c r="A86" s="11" t="s">
        <v>4034</v>
      </c>
      <c r="B86" s="32" t="s">
        <v>878</v>
      </c>
      <c r="C86" s="28" t="n">
        <v>1</v>
      </c>
      <c r="D86" s="15" t="s">
        <v>878</v>
      </c>
      <c r="E86" s="16" t="str">
        <f aca="false">IF(AND(LEN(TRIM(A86&amp;""))&gt;0,TRIM(A86&amp;"")&lt;&gt;"—",LEN(TRIM(B86&amp;""))&gt;0,TRIM(B86&amp;"")&lt;&gt;"—",LEN(TRIM(C86&amp;""))&gt;0,TRIM(C86&amp;"")&lt;&gt;"—",ISNUMBER(C86),LEN(TRIM(D86&amp;""))&gt;0,TRIM(D86&amp;"")&lt;&gt;"—"),"PASS","⚠ FAIL — "&amp;"a required cell is empty/placeholder or wrong type")</f>
        <v>PASS</v>
      </c>
    </row>
    <row r="87" customFormat="false" ht="15" hidden="false" customHeight="false" outlineLevel="0" collapsed="false">
      <c r="A87" s="11" t="s">
        <v>4035</v>
      </c>
      <c r="B87" s="32" t="s">
        <v>4036</v>
      </c>
      <c r="C87" s="28" t="n">
        <v>2</v>
      </c>
      <c r="D87" s="15" t="s">
        <v>536</v>
      </c>
      <c r="E87" s="16" t="str">
        <f aca="false">IF(AND(LEN(TRIM(A87&amp;""))&gt;0,TRIM(A87&amp;"")&lt;&gt;"—",LEN(TRIM(B87&amp;""))&gt;0,TRIM(B87&amp;"")&lt;&gt;"—",LEN(TRIM(C87&amp;""))&gt;0,TRIM(C87&amp;"")&lt;&gt;"—",ISNUMBER(C87),LEN(TRIM(D87&amp;""))&gt;0,TRIM(D87&amp;"")&lt;&gt;"—"),"PASS","⚠ FAIL — "&amp;"a required cell is empty/placeholder or wrong type")</f>
        <v>PASS</v>
      </c>
    </row>
    <row r="88" customFormat="false" ht="22.35" hidden="false" customHeight="false" outlineLevel="0" collapsed="false">
      <c r="A88" s="11" t="s">
        <v>4037</v>
      </c>
      <c r="B88" s="32" t="s">
        <v>4038</v>
      </c>
      <c r="C88" s="28" t="n">
        <v>2</v>
      </c>
      <c r="D88" s="15" t="s">
        <v>4039</v>
      </c>
      <c r="E88" s="16" t="str">
        <f aca="false">IF(AND(LEN(TRIM(A88&amp;""))&gt;0,TRIM(A88&amp;"")&lt;&gt;"—",LEN(TRIM(B88&amp;""))&gt;0,TRIM(B88&amp;"")&lt;&gt;"—",LEN(TRIM(C88&amp;""))&gt;0,TRIM(C88&amp;"")&lt;&gt;"—",ISNUMBER(C88),LEN(TRIM(D88&amp;""))&gt;0,TRIM(D88&amp;"")&lt;&gt;"—"),"PASS","⚠ FAIL — "&amp;"a required cell is empty/placeholder or wrong type")</f>
        <v>PASS</v>
      </c>
    </row>
    <row r="89" customFormat="false" ht="15" hidden="false" customHeight="false" outlineLevel="0" collapsed="false">
      <c r="A89" s="11" t="s">
        <v>4040</v>
      </c>
      <c r="B89" s="32" t="s">
        <v>4041</v>
      </c>
      <c r="C89" s="28" t="n">
        <v>1</v>
      </c>
      <c r="D89" s="15" t="s">
        <v>893</v>
      </c>
      <c r="E89" s="16" t="str">
        <f aca="false">IF(AND(LEN(TRIM(A89&amp;""))&gt;0,TRIM(A89&amp;"")&lt;&gt;"—",LEN(TRIM(B89&amp;""))&gt;0,TRIM(B89&amp;"")&lt;&gt;"—",LEN(TRIM(C89&amp;""))&gt;0,TRIM(C89&amp;"")&lt;&gt;"—",ISNUMBER(C89),LEN(TRIM(D89&amp;""))&gt;0,TRIM(D89&amp;"")&lt;&gt;"—"),"PASS","⚠ FAIL — "&amp;"a required cell is empty/placeholder or wrong type")</f>
        <v>PASS</v>
      </c>
    </row>
    <row r="90" customFormat="false" ht="15" hidden="false" customHeight="false" outlineLevel="0" collapsed="false">
      <c r="A90" s="11" t="s">
        <v>2516</v>
      </c>
      <c r="B90" s="32" t="s">
        <v>4042</v>
      </c>
      <c r="C90" s="28" t="n">
        <v>1</v>
      </c>
      <c r="D90" s="15" t="s">
        <v>448</v>
      </c>
      <c r="E90" s="16" t="str">
        <f aca="false">IF(AND(LEN(TRIM(A90&amp;""))&gt;0,TRIM(A90&amp;"")&lt;&gt;"—",LEN(TRIM(B90&amp;""))&gt;0,TRIM(B90&amp;"")&lt;&gt;"—",LEN(TRIM(C90&amp;""))&gt;0,TRIM(C90&amp;"")&lt;&gt;"—",ISNUMBER(C90),LEN(TRIM(D90&amp;""))&gt;0,TRIM(D90&amp;"")&lt;&gt;"—"),"PASS","⚠ FAIL — "&amp;"a required cell is empty/placeholder or wrong type")</f>
        <v>PASS</v>
      </c>
    </row>
    <row r="91" customFormat="false" ht="15" hidden="false" customHeight="false" outlineLevel="0" collapsed="false">
      <c r="A91" s="11" t="s">
        <v>3138</v>
      </c>
      <c r="B91" s="32" t="s">
        <v>885</v>
      </c>
      <c r="C91" s="28" t="n">
        <v>1</v>
      </c>
      <c r="D91" s="15" t="s">
        <v>885</v>
      </c>
      <c r="E91" s="16" t="str">
        <f aca="false">IF(AND(LEN(TRIM(A91&amp;""))&gt;0,TRIM(A91&amp;"")&lt;&gt;"—",LEN(TRIM(B91&amp;""))&gt;0,TRIM(B91&amp;"")&lt;&gt;"—",LEN(TRIM(C91&amp;""))&gt;0,TRIM(C91&amp;"")&lt;&gt;"—",ISNUMBER(C91),LEN(TRIM(D91&amp;""))&gt;0,TRIM(D91&amp;"")&lt;&gt;"—"),"PASS","⚠ FAIL — "&amp;"a required cell is empty/placeholder or wrong type")</f>
        <v>PASS</v>
      </c>
    </row>
    <row r="92" customFormat="false" ht="15" hidden="false" customHeight="false" outlineLevel="0" collapsed="false">
      <c r="A92" s="11" t="s">
        <v>4043</v>
      </c>
      <c r="B92" s="32" t="s">
        <v>881</v>
      </c>
      <c r="C92" s="28" t="n">
        <v>1</v>
      </c>
      <c r="D92" s="15" t="s">
        <v>881</v>
      </c>
      <c r="E92" s="16" t="str">
        <f aca="false">IF(AND(LEN(TRIM(A92&amp;""))&gt;0,TRIM(A92&amp;"")&lt;&gt;"—",LEN(TRIM(B92&amp;""))&gt;0,TRIM(B92&amp;"")&lt;&gt;"—",LEN(TRIM(C92&amp;""))&gt;0,TRIM(C92&amp;"")&lt;&gt;"—",ISNUMBER(C92),LEN(TRIM(D92&amp;""))&gt;0,TRIM(D92&amp;"")&lt;&gt;"—"),"PASS","⚠ FAIL — "&amp;"a required cell is empty/placeholder or wrong type")</f>
        <v>PASS</v>
      </c>
    </row>
    <row r="93" customFormat="false" ht="22.35" hidden="false" customHeight="false" outlineLevel="0" collapsed="false">
      <c r="A93" s="11" t="s">
        <v>4044</v>
      </c>
      <c r="B93" s="32" t="s">
        <v>4045</v>
      </c>
      <c r="C93" s="28" t="n">
        <v>2</v>
      </c>
      <c r="D93" s="15" t="s">
        <v>4046</v>
      </c>
      <c r="E93" s="16" t="str">
        <f aca="false">IF(AND(LEN(TRIM(A93&amp;""))&gt;0,TRIM(A93&amp;"")&lt;&gt;"—",LEN(TRIM(B93&amp;""))&gt;0,TRIM(B93&amp;"")&lt;&gt;"—",LEN(TRIM(C93&amp;""))&gt;0,TRIM(C93&amp;"")&lt;&gt;"—",ISNUMBER(C93),LEN(TRIM(D93&amp;""))&gt;0,TRIM(D93&amp;"")&lt;&gt;"—"),"PASS","⚠ FAIL — "&amp;"a required cell is empty/placeholder or wrong type")</f>
        <v>PASS</v>
      </c>
    </row>
    <row r="94" customFormat="false" ht="15" hidden="false" customHeight="false" outlineLevel="0" collapsed="false">
      <c r="A94" s="11" t="s">
        <v>4047</v>
      </c>
      <c r="B94" s="32" t="s">
        <v>4048</v>
      </c>
      <c r="C94" s="28" t="n">
        <v>1</v>
      </c>
      <c r="D94" s="15" t="s">
        <v>899</v>
      </c>
      <c r="E94" s="16" t="str">
        <f aca="false">IF(AND(LEN(TRIM(A94&amp;""))&gt;0,TRIM(A94&amp;"")&lt;&gt;"—",LEN(TRIM(B94&amp;""))&gt;0,TRIM(B94&amp;"")&lt;&gt;"—",LEN(TRIM(C94&amp;""))&gt;0,TRIM(C94&amp;"")&lt;&gt;"—",ISNUMBER(C94),LEN(TRIM(D94&amp;""))&gt;0,TRIM(D94&amp;"")&lt;&gt;"—"),"PASS","⚠ FAIL — "&amp;"a required cell is empty/placeholder or wrong type")</f>
        <v>PASS</v>
      </c>
    </row>
    <row r="95" customFormat="false" ht="15" hidden="false" customHeight="false" outlineLevel="0" collapsed="false">
      <c r="A95" s="11" t="s">
        <v>4049</v>
      </c>
      <c r="B95" s="32" t="s">
        <v>4050</v>
      </c>
      <c r="C95" s="28" t="n">
        <v>1</v>
      </c>
      <c r="D95" s="15" t="s">
        <v>804</v>
      </c>
      <c r="E95" s="16" t="str">
        <f aca="false">IF(AND(LEN(TRIM(A95&amp;""))&gt;0,TRIM(A95&amp;"")&lt;&gt;"—",LEN(TRIM(B95&amp;""))&gt;0,TRIM(B95&amp;"")&lt;&gt;"—",LEN(TRIM(C95&amp;""))&gt;0,TRIM(C95&amp;"")&lt;&gt;"—",ISNUMBER(C95),LEN(TRIM(D95&amp;""))&gt;0,TRIM(D95&amp;"")&lt;&gt;"—"),"PASS","⚠ FAIL — "&amp;"a required cell is empty/placeholder or wrong type")</f>
        <v>PASS</v>
      </c>
    </row>
    <row r="96" customFormat="false" ht="15" hidden="false" customHeight="false" outlineLevel="0" collapsed="false">
      <c r="A96" s="11" t="s">
        <v>4051</v>
      </c>
      <c r="B96" s="32" t="s">
        <v>4052</v>
      </c>
      <c r="C96" s="28" t="n">
        <v>1</v>
      </c>
      <c r="D96" s="15" t="s">
        <v>4052</v>
      </c>
      <c r="E96" s="16" t="str">
        <f aca="false">IF(AND(LEN(TRIM(A96&amp;""))&gt;0,TRIM(A96&amp;"")&lt;&gt;"—",LEN(TRIM(B96&amp;""))&gt;0,TRIM(B96&amp;"")&lt;&gt;"—",LEN(TRIM(C96&amp;""))&gt;0,TRIM(C96&amp;"")&lt;&gt;"—",ISNUMBER(C96),LEN(TRIM(D96&amp;""))&gt;0,TRIM(D96&amp;"")&lt;&gt;"—"),"PASS","⚠ FAIL — "&amp;"a required cell is empty/placeholder or wrong type")</f>
        <v>PASS</v>
      </c>
    </row>
    <row r="97" customFormat="false" ht="15" hidden="false" customHeight="false" outlineLevel="0" collapsed="false">
      <c r="A97" s="11" t="s">
        <v>4053</v>
      </c>
      <c r="B97" s="32" t="s">
        <v>4054</v>
      </c>
      <c r="C97" s="28" t="n">
        <v>1</v>
      </c>
      <c r="D97" s="15" t="s">
        <v>4054</v>
      </c>
      <c r="E97" s="16" t="str">
        <f aca="false">IF(AND(LEN(TRIM(A97&amp;""))&gt;0,TRIM(A97&amp;"")&lt;&gt;"—",LEN(TRIM(B97&amp;""))&gt;0,TRIM(B97&amp;"")&lt;&gt;"—",LEN(TRIM(C97&amp;""))&gt;0,TRIM(C97&amp;"")&lt;&gt;"—",ISNUMBER(C97),LEN(TRIM(D97&amp;""))&gt;0,TRIM(D97&amp;"")&lt;&gt;"—"),"PASS","⚠ FAIL — "&amp;"a required cell is empty/placeholder or wrong type")</f>
        <v>PASS</v>
      </c>
    </row>
    <row r="98" customFormat="false" ht="15" hidden="false" customHeight="false" outlineLevel="0" collapsed="false">
      <c r="A98" s="11" t="s">
        <v>4055</v>
      </c>
      <c r="B98" s="32" t="s">
        <v>4056</v>
      </c>
      <c r="C98" s="28" t="n">
        <v>1</v>
      </c>
      <c r="D98" s="15" t="s">
        <v>517</v>
      </c>
      <c r="E98" s="16" t="str">
        <f aca="false">IF(AND(LEN(TRIM(A98&amp;""))&gt;0,TRIM(A98&amp;"")&lt;&gt;"—",LEN(TRIM(B98&amp;""))&gt;0,TRIM(B98&amp;"")&lt;&gt;"—",LEN(TRIM(C98&amp;""))&gt;0,TRIM(C98&amp;"")&lt;&gt;"—",ISNUMBER(C98),LEN(TRIM(D98&amp;""))&gt;0,TRIM(D98&amp;"")&lt;&gt;"—"),"PASS","⚠ FAIL — "&amp;"a required cell is empty/placeholder or wrong type")</f>
        <v>PASS</v>
      </c>
    </row>
    <row r="99" customFormat="false" ht="15" hidden="false" customHeight="false" outlineLevel="0" collapsed="false">
      <c r="A99" s="11" t="s">
        <v>4057</v>
      </c>
      <c r="B99" s="32" t="s">
        <v>819</v>
      </c>
      <c r="C99" s="28" t="n">
        <v>1</v>
      </c>
      <c r="D99" s="15" t="s">
        <v>819</v>
      </c>
      <c r="E99" s="16" t="str">
        <f aca="false">IF(AND(LEN(TRIM(A99&amp;""))&gt;0,TRIM(A99&amp;"")&lt;&gt;"—",LEN(TRIM(B99&amp;""))&gt;0,TRIM(B99&amp;"")&lt;&gt;"—",LEN(TRIM(C99&amp;""))&gt;0,TRIM(C99&amp;"")&lt;&gt;"—",ISNUMBER(C99),LEN(TRIM(D99&amp;""))&gt;0,TRIM(D99&amp;"")&lt;&gt;"—"),"PASS","⚠ FAIL — "&amp;"a required cell is empty/placeholder or wrong type")</f>
        <v>PASS</v>
      </c>
    </row>
    <row r="100" customFormat="false" ht="15" hidden="false" customHeight="false" outlineLevel="0" collapsed="false">
      <c r="A100" s="11" t="s">
        <v>3134</v>
      </c>
      <c r="B100" s="32" t="s">
        <v>470</v>
      </c>
      <c r="C100" s="28" t="n">
        <v>1</v>
      </c>
      <c r="D100" s="15" t="s">
        <v>470</v>
      </c>
      <c r="E100" s="16" t="str">
        <f aca="false">IF(AND(LEN(TRIM(A100&amp;""))&gt;0,TRIM(A100&amp;"")&lt;&gt;"—",LEN(TRIM(B100&amp;""))&gt;0,TRIM(B100&amp;"")&lt;&gt;"—",LEN(TRIM(C100&amp;""))&gt;0,TRIM(C100&amp;"")&lt;&gt;"—",ISNUMBER(C100),LEN(TRIM(D100&amp;""))&gt;0,TRIM(D100&amp;"")&lt;&gt;"—"),"PASS","⚠ FAIL — "&amp;"a required cell is empty/placeholder or wrong type")</f>
        <v>PASS</v>
      </c>
    </row>
    <row r="101" customFormat="false" ht="15" hidden="false" customHeight="false" outlineLevel="0" collapsed="false">
      <c r="A101" s="11" t="s">
        <v>4058</v>
      </c>
      <c r="B101" s="32" t="s">
        <v>467</v>
      </c>
      <c r="C101" s="28" t="n">
        <v>1</v>
      </c>
      <c r="D101" s="15" t="s">
        <v>467</v>
      </c>
      <c r="E101" s="16" t="str">
        <f aca="false">IF(AND(LEN(TRIM(A101&amp;""))&gt;0,TRIM(A101&amp;"")&lt;&gt;"—",LEN(TRIM(B101&amp;""))&gt;0,TRIM(B101&amp;"")&lt;&gt;"—",LEN(TRIM(C101&amp;""))&gt;0,TRIM(C101&amp;"")&lt;&gt;"—",ISNUMBER(C101),LEN(TRIM(D101&amp;""))&gt;0,TRIM(D101&amp;"")&lt;&gt;"—"),"PASS","⚠ FAIL — "&amp;"a required cell is empty/placeholder or wrong type")</f>
        <v>PASS</v>
      </c>
    </row>
    <row r="102" customFormat="false" ht="15" hidden="false" customHeight="false" outlineLevel="0" collapsed="false">
      <c r="A102" s="11" t="s">
        <v>4059</v>
      </c>
      <c r="B102" s="32" t="s">
        <v>4060</v>
      </c>
      <c r="C102" s="28" t="n">
        <v>214</v>
      </c>
      <c r="D102" s="15" t="s">
        <v>1328</v>
      </c>
      <c r="E102" s="16" t="str">
        <f aca="false">IF(AND(LEN(TRIM(A102&amp;""))&gt;0,TRIM(A102&amp;"")&lt;&gt;"—",LEN(TRIM(B102&amp;""))&gt;0,TRIM(B102&amp;"")&lt;&gt;"—",LEN(TRIM(C102&amp;""))&gt;0,TRIM(C102&amp;"")&lt;&gt;"—",ISNUMBER(C102),LEN(TRIM(D102&amp;""))&gt;0,TRIM(D102&amp;"")&lt;&gt;"—"),"PASS","⚠ FAIL — "&amp;"a required cell is empty/placeholder or wrong type")</f>
        <v>PASS</v>
      </c>
    </row>
  </sheetData>
  <autoFilter ref="A4:D102"/>
  <mergeCells count="3">
    <mergeCell ref="A1:D1"/>
    <mergeCell ref="A2:D2"/>
    <mergeCell ref="A3:D3"/>
  </mergeCells>
  <hyperlinks>
    <hyperlink ref="E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F5597"/>
    <pageSetUpPr fitToPage="false"/>
  </sheetPr>
  <dimension ref="A1:E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0"/>
    <col collapsed="false" customWidth="true" hidden="false" outlineLevel="0" max="2" min="2" style="0" width="16"/>
    <col collapsed="false" customWidth="true" hidden="false" outlineLevel="0" max="3" min="3" style="0" width="14"/>
    <col collapsed="false" customWidth="true" hidden="false" outlineLevel="0" max="4" min="4" style="0" width="60"/>
    <col collapsed="false" customWidth="true" hidden="false" outlineLevel="0" max="5" min="5" style="0" width="13"/>
  </cols>
  <sheetData>
    <row r="1" customFormat="false" ht="25.5" hidden="false" customHeight="true" outlineLevel="0" collapsed="false">
      <c r="A1" s="1" t="s">
        <v>139</v>
      </c>
      <c r="B1" s="1"/>
      <c r="C1" s="1"/>
      <c r="D1" s="1"/>
      <c r="E1" s="24" t="s">
        <v>140</v>
      </c>
    </row>
    <row r="2" customFormat="false" ht="30" hidden="false" customHeight="true" outlineLevel="0" collapsed="false">
      <c r="A2" s="2" t="str">
        <f aca="false">"⬤ TAB QUALITY "&amp;IF(ISNUMBER('Quality &amp; Audit'!$B$27),IF('Quality &amp; Audit'!$B$27=INT('Quality &amp; Audit'!$B$27),TEXT('Quality &amp; Audit'!$B$27,"0"),TEXT('Quality &amp; Audit'!$B$27,"0.0")),"—")&amp;"/10 · "&amp;IF(ISNUMBER('Quality &amp; Audit'!$B$27),IF('Quality &amp; Audit'!$B$27&gt;=8,"PASS","FAIL"),"UNSCORED")&amp;" (target ≥8, live from the Quality &amp; Audit score cell)"&amp;" · dashboard integrity (every quoted number vs its engine source) — capex category % = 100 × £ / Σ (per-row arithmetic) 10/10; Σ capex categories ≈ the BoM materials total …"&amp;" · full audit: Quality &amp; Audit tab"</f>
        <v>⬤ TAB QUALITY 10/10 · PASS (target ≥8, live from the Quality &amp; Audit score cell) · dashboard integrity (every quoted number vs its engine source) — capex category % = 100 × £ / Σ (per-row arithmetic) 10/10; Σ capex categories ≈ the BoM materials total … · full audit: Quality &amp; Audit tab</v>
      </c>
      <c r="B2" s="2"/>
      <c r="C2" s="2"/>
      <c r="D2" s="2"/>
    </row>
    <row r="3" customFormat="false" ht="40.5" hidden="false" customHeight="true" outlineLevel="0" collapsed="false">
      <c r="A3" s="3" t="s">
        <v>141</v>
      </c>
      <c r="B3" s="3"/>
      <c r="C3" s="3"/>
      <c r="D3" s="3"/>
    </row>
    <row r="5" customFormat="false" ht="15" hidden="false" customHeight="false" outlineLevel="0" collapsed="false">
      <c r="A5" s="8" t="s">
        <v>142</v>
      </c>
      <c r="B5" s="8"/>
      <c r="C5" s="8"/>
      <c r="D5" s="8"/>
    </row>
    <row r="6" customFormat="false" ht="15" hidden="false" customHeight="false" outlineLevel="0" collapsed="false">
      <c r="A6" s="17" t="s">
        <v>143</v>
      </c>
      <c r="B6" s="0" t="s">
        <v>144</v>
      </c>
    </row>
    <row r="7" customFormat="false" ht="15" hidden="false" customHeight="false" outlineLevel="0" collapsed="false">
      <c r="A7" s="17" t="s">
        <v>145</v>
      </c>
      <c r="B7" s="0" t="s">
        <v>146</v>
      </c>
    </row>
    <row r="8" customFormat="false" ht="15" hidden="false" customHeight="false" outlineLevel="0" collapsed="false">
      <c r="A8" s="17" t="s">
        <v>147</v>
      </c>
      <c r="B8" s="0" t="s">
        <v>148</v>
      </c>
    </row>
    <row r="9" customFormat="false" ht="15" hidden="false" customHeight="false" outlineLevel="0" collapsed="false">
      <c r="A9" s="17" t="s">
        <v>149</v>
      </c>
      <c r="B9" s="0" t="s">
        <v>150</v>
      </c>
    </row>
    <row r="10" customFormat="false" ht="15" hidden="false" customHeight="false" outlineLevel="0" collapsed="false">
      <c r="A10" s="17" t="s">
        <v>151</v>
      </c>
      <c r="B10" s="0" t="s">
        <v>152</v>
      </c>
    </row>
    <row r="12" customFormat="false" ht="15" hidden="false" customHeight="false" outlineLevel="0" collapsed="false">
      <c r="A12" s="8" t="s">
        <v>153</v>
      </c>
      <c r="B12" s="8"/>
      <c r="C12" s="8"/>
      <c r="D12" s="8"/>
    </row>
    <row r="13" customFormat="false" ht="15" hidden="false" customHeight="false" outlineLevel="0" collapsed="false">
      <c r="A13" s="25" t="str">
        <f aca="false">"VERDICT: "&amp;IF('Quality &amp; Audit'!$B$58=0,"SHIPS","DRAFT — "&amp;'Quality &amp; Audit'!$B$58&amp;" open issue"&amp;IF('Quality &amp; Audit'!$B$58=1,"","s"))&amp;" · floor "&amp;IF(ISNUMBER('Quality &amp; Audit'!$B$57),IF('Quality &amp; Audit'!$B$57=INT('Quality &amp; Audit'!$B$57),TEXT('Quality &amp; Audit'!$B$57,"0"),TEXT('Quality &amp; Audit'!$B$57,"0.0")),"—")&amp;"/10 (min of every DETERMINISTIC section &amp; non-mirror tab — live cells on Quality &amp; Audit; the LLM self-audit is advisory and never floors; ships at ≥8 everywhere)"</f>
        <v>VERDICT: SHIPS · floor 8/10 (min of every DETERMINISTIC section &amp; non-mirror tab — live cells on Quality &amp; Audit; the LLM self-audit is advisory and never floors; ships at ≥8 everywhere)</v>
      </c>
      <c r="B13" s="25"/>
      <c r="C13" s="25"/>
      <c r="D13" s="25"/>
    </row>
    <row r="14" customFormat="false" ht="15" hidden="false" customHeight="false" outlineLevel="0" collapsed="false">
      <c r="A14" s="10" t="s">
        <v>154</v>
      </c>
    </row>
    <row r="16" customFormat="false" ht="15" hidden="false" customHeight="false" outlineLevel="0" collapsed="false">
      <c r="A16" s="8" t="s">
        <v>155</v>
      </c>
      <c r="B16" s="8"/>
      <c r="C16" s="8"/>
      <c r="D16" s="8"/>
    </row>
    <row r="17" customFormat="false" ht="15" hidden="false" customHeight="false" outlineLevel="0" collapsed="false">
      <c r="A17" s="17" t="s">
        <v>156</v>
      </c>
      <c r="B17" s="26" t="str">
        <f aca="false">COUNTIF('⚠ Checks'!$F:$F,"PASS")&amp;" / "&amp;(COUNTIF('⚠ Checks'!$F:$F,"PASS")+COUNTIF('⚠ Checks'!$F:$F,"FAIL"))&amp;" pass  ·  "&amp;COUNTIF('⚠ Checks'!$F:$F,"FAIL")&amp;" FAIL"</f>
        <v>103 / 103 pass  ·  0 FAIL</v>
      </c>
      <c r="C17" s="10" t="s">
        <v>157</v>
      </c>
    </row>
    <row r="19" customFormat="false" ht="15" hidden="false" customHeight="false" outlineLevel="0" collapsed="false">
      <c r="A19" s="8" t="s">
        <v>158</v>
      </c>
      <c r="B19" s="8"/>
      <c r="C19" s="8"/>
      <c r="D19" s="8"/>
    </row>
    <row r="20" customFormat="false" ht="15" hidden="false" customHeight="false" outlineLevel="0" collapsed="false">
      <c r="A20" s="9" t="s">
        <v>159</v>
      </c>
      <c r="B20" s="9" t="s">
        <v>160</v>
      </c>
      <c r="C20" s="9" t="s">
        <v>15</v>
      </c>
      <c r="D20" s="9" t="s">
        <v>161</v>
      </c>
      <c r="E20" s="10" t="s">
        <v>20</v>
      </c>
    </row>
    <row r="21" customFormat="false" ht="32.8" hidden="false" customHeight="false" outlineLevel="0" collapsed="false">
      <c r="A21" s="11" t="s">
        <v>162</v>
      </c>
      <c r="B21" s="11" t="n">
        <v>90</v>
      </c>
      <c r="C21" s="11" t="s">
        <v>163</v>
      </c>
      <c r="D21" s="15" t="s">
        <v>164</v>
      </c>
      <c r="E21" s="16" t="str">
        <f aca="false">IF(AND(LEN(TRIM(A21&amp;""))&gt;0,TRIM(A21&amp;"")&lt;&gt;"—",LEN(TRIM(B21&amp;""))&gt;0,TRIM(B21&amp;"")&lt;&gt;"—",LEN(TRIM(D21&amp;""))&gt;0,TRIM(D21&amp;"")&lt;&gt;"—"),"PASS","⚠ FAIL — "&amp;"a required cell is empty/placeholder or wrong type")</f>
        <v>PASS</v>
      </c>
    </row>
    <row r="22" customFormat="false" ht="15" hidden="false" customHeight="false" outlineLevel="0" collapsed="false">
      <c r="A22" s="11" t="s">
        <v>165</v>
      </c>
      <c r="B22" s="11" t="s">
        <v>166</v>
      </c>
      <c r="C22" s="11" t="s">
        <v>167</v>
      </c>
      <c r="D22" s="15" t="s">
        <v>168</v>
      </c>
      <c r="E22" s="16" t="str">
        <f aca="false">IF(AND(LEN(TRIM(A22&amp;""))&gt;0,TRIM(A22&amp;"")&lt;&gt;"—",LEN(TRIM(B22&amp;""))&gt;0,TRIM(B22&amp;"")&lt;&gt;"—",LEN(TRIM(D22&amp;""))&gt;0,TRIM(D22&amp;"")&lt;&gt;"—"),"PASS","⚠ FAIL — "&amp;"a required cell is empty/placeholder or wrong type")</f>
        <v>PASS</v>
      </c>
    </row>
    <row r="23" customFormat="false" ht="15" hidden="false" customHeight="false" outlineLevel="0" collapsed="false">
      <c r="A23" s="11" t="s">
        <v>169</v>
      </c>
      <c r="B23" s="11" t="s">
        <v>170</v>
      </c>
      <c r="C23" s="11" t="s">
        <v>27</v>
      </c>
      <c r="D23" s="15" t="s">
        <v>171</v>
      </c>
      <c r="E23" s="16" t="str">
        <f aca="false">IF(AND(LEN(TRIM(A23&amp;""))&gt;0,TRIM(A23&amp;"")&lt;&gt;"—",LEN(TRIM(B23&amp;""))&gt;0,TRIM(B23&amp;"")&lt;&gt;"—",LEN(TRIM(D23&amp;""))&gt;0,TRIM(D23&amp;"")&lt;&gt;"—"),"PASS","⚠ FAIL — "&amp;"a required cell is empty/placeholder or wrong type")</f>
        <v>PASS</v>
      </c>
    </row>
    <row r="24" customFormat="false" ht="15" hidden="false" customHeight="false" outlineLevel="0" collapsed="false">
      <c r="A24" s="11" t="s">
        <v>172</v>
      </c>
      <c r="B24" s="11" t="s">
        <v>173</v>
      </c>
      <c r="C24" s="11" t="s">
        <v>22</v>
      </c>
      <c r="D24" s="15" t="s">
        <v>171</v>
      </c>
      <c r="E24" s="16" t="str">
        <f aca="false">IF(AND(LEN(TRIM(A24&amp;""))&gt;0,TRIM(A24&amp;"")&lt;&gt;"—",LEN(TRIM(B24&amp;""))&gt;0,TRIM(B24&amp;"")&lt;&gt;"—",LEN(TRIM(D24&amp;""))&gt;0,TRIM(D24&amp;"")&lt;&gt;"—"),"PASS","⚠ FAIL — "&amp;"a required cell is empty/placeholder or wrong type")</f>
        <v>PASS</v>
      </c>
    </row>
    <row r="25" customFormat="false" ht="15" hidden="false" customHeight="false" outlineLevel="0" collapsed="false">
      <c r="A25" s="11" t="s">
        <v>174</v>
      </c>
      <c r="B25" s="11" t="s">
        <v>175</v>
      </c>
      <c r="C25" s="11" t="s">
        <v>33</v>
      </c>
      <c r="D25" s="15" t="s">
        <v>176</v>
      </c>
      <c r="E25" s="16" t="str">
        <f aca="false">IF(AND(LEN(TRIM(A25&amp;""))&gt;0,TRIM(A25&amp;"")&lt;&gt;"—",LEN(TRIM(B25&amp;""))&gt;0,TRIM(B25&amp;"")&lt;&gt;"—",LEN(TRIM(D25&amp;""))&gt;0,TRIM(D25&amp;"")&lt;&gt;"—"),"PASS","⚠ FAIL — "&amp;"a required cell is empty/placeholder or wrong type")</f>
        <v>PASS</v>
      </c>
    </row>
    <row r="26" customFormat="false" ht="15" hidden="false" customHeight="false" outlineLevel="0" collapsed="false">
      <c r="A26" s="11" t="s">
        <v>177</v>
      </c>
      <c r="B26" s="11" t="s">
        <v>178</v>
      </c>
      <c r="C26" s="11" t="s">
        <v>33</v>
      </c>
      <c r="D26" s="15" t="s">
        <v>176</v>
      </c>
      <c r="E26" s="16" t="str">
        <f aca="false">IF(AND(LEN(TRIM(A26&amp;""))&gt;0,TRIM(A26&amp;"")&lt;&gt;"—",LEN(TRIM(B26&amp;""))&gt;0,TRIM(B26&amp;"")&lt;&gt;"—",LEN(TRIM(D26&amp;""))&gt;0,TRIM(D26&amp;"")&lt;&gt;"—"),"PASS","⚠ FAIL — "&amp;"a required cell is empty/placeholder or wrong type")</f>
        <v>PASS</v>
      </c>
    </row>
    <row r="27" customFormat="false" ht="15" hidden="false" customHeight="false" outlineLevel="0" collapsed="false">
      <c r="A27" s="11" t="s">
        <v>179</v>
      </c>
      <c r="B27" s="11" t="s">
        <v>180</v>
      </c>
      <c r="C27" s="11" t="s">
        <v>33</v>
      </c>
      <c r="D27" s="15" t="s">
        <v>176</v>
      </c>
      <c r="E27" s="16" t="str">
        <f aca="false">IF(AND(LEN(TRIM(A27&amp;""))&gt;0,TRIM(A27&amp;"")&lt;&gt;"—",LEN(TRIM(B27&amp;""))&gt;0,TRIM(B27&amp;"")&lt;&gt;"—",LEN(TRIM(D27&amp;""))&gt;0,TRIM(D27&amp;"")&lt;&gt;"—"),"PASS","⚠ FAIL — "&amp;"a required cell is empty/placeholder or wrong type")</f>
        <v>PASS</v>
      </c>
    </row>
    <row r="29" customFormat="false" ht="15" hidden="false" customHeight="false" outlineLevel="0" collapsed="false">
      <c r="A29" s="8" t="s">
        <v>44</v>
      </c>
      <c r="B29" s="8"/>
      <c r="C29" s="8"/>
      <c r="D29" s="8"/>
    </row>
    <row r="30" customFormat="false" ht="43.25" hidden="false" customHeight="false" outlineLevel="0" collapsed="false">
      <c r="A30" s="27" t="s">
        <v>181</v>
      </c>
    </row>
    <row r="31" customFormat="false" ht="15" hidden="false" customHeight="false" outlineLevel="0" collapsed="false">
      <c r="A31" s="9" t="s">
        <v>182</v>
      </c>
      <c r="B31" s="9" t="s">
        <v>183</v>
      </c>
      <c r="C31" s="9" t="s">
        <v>184</v>
      </c>
      <c r="D31" s="9" t="s">
        <v>185</v>
      </c>
      <c r="E31" s="10" t="s">
        <v>20</v>
      </c>
    </row>
    <row r="32" customFormat="false" ht="15" hidden="false" customHeight="false" outlineLevel="0" collapsed="false">
      <c r="A32" s="11" t="s">
        <v>45</v>
      </c>
      <c r="B32" s="28" t="n">
        <v>339642</v>
      </c>
      <c r="C32" s="29" t="n">
        <v>42</v>
      </c>
      <c r="D32" s="30" t="s">
        <v>46</v>
      </c>
      <c r="E32" s="16" t="str">
        <f aca="false">IF(AND(LEN(TRIM(A32&amp;""))&gt;0,TRIM(A32&amp;"")&lt;&gt;"—",LEN(TRIM(B32&amp;""))&gt;0,TRIM(B32&amp;"")&lt;&gt;"—",ISNUMBER(B32),LEN(TRIM(C32&amp;""))&gt;0,TRIM(C32&amp;"")&lt;&gt;"—"),"PASS","⚠ FAIL — "&amp;"a required cell is empty/placeholder or wrong type")</f>
        <v>PASS</v>
      </c>
    </row>
    <row r="33" customFormat="false" ht="15" hidden="false" customHeight="false" outlineLevel="0" collapsed="false">
      <c r="A33" s="11" t="s">
        <v>47</v>
      </c>
      <c r="B33" s="28" t="n">
        <v>126172</v>
      </c>
      <c r="C33" s="29" t="n">
        <v>15.6</v>
      </c>
      <c r="D33" s="30" t="s">
        <v>48</v>
      </c>
      <c r="E33" s="16" t="str">
        <f aca="false">IF(AND(LEN(TRIM(A33&amp;""))&gt;0,TRIM(A33&amp;"")&lt;&gt;"—",LEN(TRIM(B33&amp;""))&gt;0,TRIM(B33&amp;"")&lt;&gt;"—",ISNUMBER(B33),LEN(TRIM(C33&amp;""))&gt;0,TRIM(C33&amp;"")&lt;&gt;"—"),"PASS","⚠ FAIL — "&amp;"a required cell is empty/placeholder or wrong type")</f>
        <v>PASS</v>
      </c>
    </row>
    <row r="34" customFormat="false" ht="15" hidden="false" customHeight="false" outlineLevel="0" collapsed="false">
      <c r="A34" s="11" t="s">
        <v>49</v>
      </c>
      <c r="B34" s="28" t="n">
        <v>107774</v>
      </c>
      <c r="C34" s="29" t="n">
        <v>13.3</v>
      </c>
      <c r="D34" s="30" t="s">
        <v>50</v>
      </c>
      <c r="E34" s="16" t="str">
        <f aca="false">IF(AND(LEN(TRIM(A34&amp;""))&gt;0,TRIM(A34&amp;"")&lt;&gt;"—",LEN(TRIM(B34&amp;""))&gt;0,TRIM(B34&amp;"")&lt;&gt;"—",ISNUMBER(B34),LEN(TRIM(C34&amp;""))&gt;0,TRIM(C34&amp;"")&lt;&gt;"—"),"PASS","⚠ FAIL — "&amp;"a required cell is empty/placeholder or wrong type")</f>
        <v>PASS</v>
      </c>
    </row>
    <row r="35" customFormat="false" ht="15" hidden="false" customHeight="false" outlineLevel="0" collapsed="false">
      <c r="A35" s="11" t="s">
        <v>51</v>
      </c>
      <c r="B35" s="28" t="n">
        <v>93229</v>
      </c>
      <c r="C35" s="29" t="n">
        <v>11.5</v>
      </c>
      <c r="D35" s="30" t="s">
        <v>50</v>
      </c>
      <c r="E35" s="16" t="str">
        <f aca="false">IF(AND(LEN(TRIM(A35&amp;""))&gt;0,TRIM(A35&amp;"")&lt;&gt;"—",LEN(TRIM(B35&amp;""))&gt;0,TRIM(B35&amp;"")&lt;&gt;"—",ISNUMBER(B35),LEN(TRIM(C35&amp;""))&gt;0,TRIM(C35&amp;"")&lt;&gt;"—"),"PASS","⚠ FAIL — "&amp;"a required cell is empty/placeholder or wrong type")</f>
        <v>PASS</v>
      </c>
    </row>
    <row r="36" customFormat="false" ht="15" hidden="false" customHeight="false" outlineLevel="0" collapsed="false">
      <c r="A36" s="11" t="s">
        <v>52</v>
      </c>
      <c r="B36" s="28" t="n">
        <v>65693</v>
      </c>
      <c r="C36" s="29" t="n">
        <v>8.1</v>
      </c>
      <c r="D36" s="30" t="s">
        <v>53</v>
      </c>
      <c r="E36" s="16" t="str">
        <f aca="false">IF(AND(LEN(TRIM(A36&amp;""))&gt;0,TRIM(A36&amp;"")&lt;&gt;"—",LEN(TRIM(B36&amp;""))&gt;0,TRIM(B36&amp;"")&lt;&gt;"—",ISNUMBER(B36),LEN(TRIM(C36&amp;""))&gt;0,TRIM(C36&amp;"")&lt;&gt;"—"),"PASS","⚠ FAIL — "&amp;"a required cell is empty/placeholder or wrong type")</f>
        <v>PASS</v>
      </c>
    </row>
    <row r="37" customFormat="false" ht="15" hidden="false" customHeight="false" outlineLevel="0" collapsed="false">
      <c r="A37" s="11" t="s">
        <v>54</v>
      </c>
      <c r="B37" s="28" t="n">
        <v>35295</v>
      </c>
      <c r="C37" s="29" t="n">
        <v>4.4</v>
      </c>
      <c r="D37" s="30" t="s">
        <v>55</v>
      </c>
      <c r="E37" s="16" t="str">
        <f aca="false">IF(AND(LEN(TRIM(A37&amp;""))&gt;0,TRIM(A37&amp;"")&lt;&gt;"—",LEN(TRIM(B37&amp;""))&gt;0,TRIM(B37&amp;"")&lt;&gt;"—",ISNUMBER(B37),LEN(TRIM(C37&amp;""))&gt;0,TRIM(C37&amp;"")&lt;&gt;"—"),"PASS","⚠ FAIL — "&amp;"a required cell is empty/placeholder or wrong type")</f>
        <v>PASS</v>
      </c>
    </row>
    <row r="38" customFormat="false" ht="15" hidden="false" customHeight="false" outlineLevel="0" collapsed="false">
      <c r="A38" s="11" t="s">
        <v>56</v>
      </c>
      <c r="B38" s="28" t="n">
        <v>30736</v>
      </c>
      <c r="C38" s="29" t="n">
        <v>3.8</v>
      </c>
      <c r="D38" s="30" t="s">
        <v>55</v>
      </c>
      <c r="E38" s="16" t="str">
        <f aca="false">IF(AND(LEN(TRIM(A38&amp;""))&gt;0,TRIM(A38&amp;"")&lt;&gt;"—",LEN(TRIM(B38&amp;""))&gt;0,TRIM(B38&amp;"")&lt;&gt;"—",ISNUMBER(B38),LEN(TRIM(C38&amp;""))&gt;0,TRIM(C38&amp;"")&lt;&gt;"—"),"PASS","⚠ FAIL — "&amp;"a required cell is empty/placeholder or wrong type")</f>
        <v>PASS</v>
      </c>
    </row>
    <row r="39" customFormat="false" ht="15" hidden="false" customHeight="false" outlineLevel="0" collapsed="false">
      <c r="A39" s="11" t="s">
        <v>186</v>
      </c>
      <c r="B39" s="28" t="n">
        <v>9870</v>
      </c>
      <c r="C39" s="29" t="n">
        <v>1.2</v>
      </c>
      <c r="D39" s="30" t="s">
        <v>187</v>
      </c>
      <c r="E39" s="16" t="str">
        <f aca="false">IF(AND(LEN(TRIM(A39&amp;""))&gt;0,TRIM(A39&amp;"")&lt;&gt;"—",LEN(TRIM(B39&amp;""))&gt;0,TRIM(B39&amp;"")&lt;&gt;"—",ISNUMBER(B39),LEN(TRIM(C39&amp;""))&gt;0,TRIM(C39&amp;"")&lt;&gt;"—"),"PASS","⚠ FAIL — "&amp;"a required cell is empty/placeholder or wrong type")</f>
        <v>PASS</v>
      </c>
    </row>
    <row r="40" customFormat="false" ht="15" hidden="false" customHeight="false" outlineLevel="0" collapsed="false">
      <c r="A40" s="11" t="s">
        <v>188</v>
      </c>
      <c r="B40" s="28" t="n">
        <v>420</v>
      </c>
      <c r="C40" s="29" t="n">
        <v>0.1</v>
      </c>
      <c r="D40" s="30" t="s">
        <v>187</v>
      </c>
      <c r="E40" s="16" t="str">
        <f aca="false">IF(AND(LEN(TRIM(A40&amp;""))&gt;0,TRIM(A40&amp;"")&lt;&gt;"—",LEN(TRIM(B40&amp;""))&gt;0,TRIM(B40&amp;"")&lt;&gt;"—",ISNUMBER(B40),LEN(TRIM(C40&amp;""))&gt;0,TRIM(C40&amp;"")&lt;&gt;"—"),"PASS","⚠ FAIL — "&amp;"a required cell is empty/placeholder or wrong type")</f>
        <v>PASS</v>
      </c>
    </row>
    <row r="41" customFormat="false" ht="15" hidden="false" customHeight="false" outlineLevel="0" collapsed="false">
      <c r="A41" s="11" t="s">
        <v>189</v>
      </c>
      <c r="B41" s="28" t="n">
        <v>54</v>
      </c>
      <c r="C41" s="29" t="n">
        <v>0</v>
      </c>
      <c r="D41" s="30" t="s">
        <v>187</v>
      </c>
      <c r="E41" s="16" t="str">
        <f aca="false">IF(AND(LEN(TRIM(A41&amp;""))&gt;0,TRIM(A41&amp;"")&lt;&gt;"—",LEN(TRIM(B41&amp;""))&gt;0,TRIM(B41&amp;"")&lt;&gt;"—",ISNUMBER(B41),LEN(TRIM(C41&amp;""))&gt;0,TRIM(C41&amp;"")&lt;&gt;"—"),"PASS","⚠ FAIL — "&amp;"a required cell is empty/placeholder or wrong type")</f>
        <v>PASS</v>
      </c>
    </row>
    <row r="42" customFormat="false" ht="15" hidden="false" customHeight="false" outlineLevel="0" collapsed="false">
      <c r="A42" s="17" t="s">
        <v>190</v>
      </c>
      <c r="B42" s="31" t="n">
        <v>808885</v>
      </c>
    </row>
  </sheetData>
  <mergeCells count="9">
    <mergeCell ref="A1:D1"/>
    <mergeCell ref="A2:D2"/>
    <mergeCell ref="A3:D3"/>
    <mergeCell ref="A5:D5"/>
    <mergeCell ref="A12:D12"/>
    <mergeCell ref="A13:D13"/>
    <mergeCell ref="A16:D16"/>
    <mergeCell ref="A19:D19"/>
    <mergeCell ref="A29:D29"/>
  </mergeCells>
  <hyperlinks>
    <hyperlink ref="E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7F7F"/>
    <pageSetUpPr fitToPage="false"/>
  </sheetPr>
  <dimension ref="A1:C6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20"/>
    <col collapsed="false" customWidth="true" hidden="false" outlineLevel="0" max="2" min="2" style="0" width="104"/>
    <col collapsed="false" customWidth="true" hidden="false" outlineLevel="0" max="3" min="3" style="0" width="13"/>
  </cols>
  <sheetData>
    <row r="1" customFormat="false" ht="25.5" hidden="false" customHeight="true" outlineLevel="0" collapsed="false">
      <c r="A1" s="1" t="s">
        <v>4061</v>
      </c>
      <c r="B1" s="1"/>
      <c r="C1" s="24" t="s">
        <v>140</v>
      </c>
    </row>
    <row r="2" customFormat="false" ht="30" hidden="false" customHeight="true" outlineLevel="0" collapsed="false">
      <c r="A2" s="2" t="str">
        <f aca="false">"⬤ TAB QUALITY "&amp;IF(ISNUMBER('Quality &amp; Audit'!$B$40),IF('Quality &amp; Audit'!$B$40=INT('Quality &amp; Audit'!$B$40),TEXT('Quality &amp; Audit'!$B$40,"0"),TEXT('Quality &amp; Audit'!$B$40,"0.0")),"—")&amp;"/10 · "&amp;IF(ISNUMBER('Quality &amp; Audit'!$B$40),IF('Quality &amp; Audit'!$B$40&gt;=8,"PASS","FAIL"),"UNSCORED")&amp;" (target ≥8, live from the Quality &amp; Audit score cell)"&amp;" · glossary contract (every term defined + no orphan terms) — every rendered term carries a definition 47/47; terms actually used somewhere in the workbook 47/47 · score = …"&amp;" · full audit: Quality &amp; Audit tab"</f>
        <v>⬤ TAB QUALITY 10/10 · PASS (target ≥8, live from the Quality &amp; Audit score cell) · glossary contract (every term defined + no orphan terms) — every rendered term carries a definition 47/47; terms actually used somewhere in the workbook 47/47 · score = … · full audit: Quality &amp; Audit tab</v>
      </c>
      <c r="B2" s="2"/>
    </row>
    <row r="3" customFormat="false" ht="40.5" hidden="false" customHeight="true" outlineLevel="0" collapsed="false">
      <c r="A3" s="3" t="s">
        <v>4062</v>
      </c>
      <c r="B3" s="3"/>
    </row>
    <row r="4" customFormat="false" ht="15" hidden="false" customHeight="false" outlineLevel="0" collapsed="false">
      <c r="A4" s="8" t="s">
        <v>4063</v>
      </c>
      <c r="B4" s="8"/>
    </row>
    <row r="5" customFormat="false" ht="28.5" hidden="false" customHeight="true" outlineLevel="0" collapsed="false">
      <c r="A5" s="133" t="s">
        <v>1549</v>
      </c>
      <c r="B5" s="68" t="s">
        <v>4064</v>
      </c>
    </row>
    <row r="6" customFormat="false" ht="28.5" hidden="false" customHeight="true" outlineLevel="0" collapsed="false">
      <c r="A6" s="133" t="s">
        <v>4065</v>
      </c>
      <c r="B6" s="68" t="s">
        <v>4066</v>
      </c>
    </row>
    <row r="7" customFormat="false" ht="15" hidden="false" customHeight="false" outlineLevel="0" collapsed="false">
      <c r="A7" s="133" t="s">
        <v>4067</v>
      </c>
      <c r="B7" s="68" t="s">
        <v>4068</v>
      </c>
    </row>
    <row r="8" customFormat="false" ht="28.5" hidden="false" customHeight="true" outlineLevel="0" collapsed="false">
      <c r="A8" s="133" t="s">
        <v>4069</v>
      </c>
      <c r="B8" s="68" t="s">
        <v>4070</v>
      </c>
    </row>
    <row r="9" customFormat="false" ht="28.5" hidden="false" customHeight="true" outlineLevel="0" collapsed="false">
      <c r="A9" s="133" t="s">
        <v>4071</v>
      </c>
      <c r="B9" s="68" t="s">
        <v>4072</v>
      </c>
    </row>
    <row r="10" customFormat="false" ht="15" hidden="false" customHeight="false" outlineLevel="0" collapsed="false">
      <c r="A10" s="133" t="s">
        <v>4073</v>
      </c>
      <c r="B10" s="68" t="s">
        <v>4074</v>
      </c>
    </row>
    <row r="11" customFormat="false" ht="15" hidden="false" customHeight="false" outlineLevel="0" collapsed="false">
      <c r="A11" s="133" t="s">
        <v>4075</v>
      </c>
      <c r="B11" s="68" t="s">
        <v>4076</v>
      </c>
    </row>
    <row r="13" customFormat="false" ht="15" hidden="false" customHeight="false" outlineLevel="0" collapsed="false">
      <c r="A13" s="8" t="s">
        <v>4077</v>
      </c>
      <c r="B13" s="8"/>
    </row>
    <row r="14" customFormat="false" ht="28.5" hidden="false" customHeight="true" outlineLevel="0" collapsed="false">
      <c r="A14" s="133" t="s">
        <v>1748</v>
      </c>
      <c r="B14" s="68" t="s">
        <v>4078</v>
      </c>
    </row>
    <row r="15" customFormat="false" ht="15" hidden="false" customHeight="false" outlineLevel="0" collapsed="false">
      <c r="A15" s="133" t="s">
        <v>1791</v>
      </c>
      <c r="B15" s="68" t="s">
        <v>4079</v>
      </c>
    </row>
    <row r="16" customFormat="false" ht="15" hidden="false" customHeight="false" outlineLevel="0" collapsed="false">
      <c r="A16" s="133" t="s">
        <v>1755</v>
      </c>
      <c r="B16" s="68" t="s">
        <v>4080</v>
      </c>
    </row>
    <row r="17" customFormat="false" ht="15" hidden="false" customHeight="false" outlineLevel="0" collapsed="false">
      <c r="A17" s="133" t="s">
        <v>1775</v>
      </c>
      <c r="B17" s="68" t="s">
        <v>4081</v>
      </c>
    </row>
    <row r="18" customFormat="false" ht="15" hidden="false" customHeight="false" outlineLevel="0" collapsed="false">
      <c r="A18" s="133" t="s">
        <v>1806</v>
      </c>
      <c r="B18" s="68" t="s">
        <v>4082</v>
      </c>
    </row>
    <row r="19" customFormat="false" ht="15" hidden="false" customHeight="false" outlineLevel="0" collapsed="false">
      <c r="A19" s="133" t="s">
        <v>4083</v>
      </c>
      <c r="B19" s="68" t="s">
        <v>4084</v>
      </c>
    </row>
    <row r="20" customFormat="false" ht="15" hidden="false" customHeight="false" outlineLevel="0" collapsed="false">
      <c r="A20" s="133" t="s">
        <v>1760</v>
      </c>
      <c r="B20" s="68" t="s">
        <v>4085</v>
      </c>
    </row>
    <row r="21" customFormat="false" ht="15" hidden="false" customHeight="false" outlineLevel="0" collapsed="false">
      <c r="A21" s="133" t="s">
        <v>4086</v>
      </c>
      <c r="B21" s="68" t="s">
        <v>4087</v>
      </c>
    </row>
    <row r="23" customFormat="false" ht="15" hidden="false" customHeight="false" outlineLevel="0" collapsed="false">
      <c r="A23" s="8" t="s">
        <v>4088</v>
      </c>
      <c r="B23" s="8"/>
    </row>
    <row r="24" customFormat="false" ht="15" hidden="false" customHeight="false" outlineLevel="0" collapsed="false">
      <c r="A24" s="133" t="s">
        <v>4089</v>
      </c>
      <c r="B24" s="68" t="s">
        <v>4090</v>
      </c>
    </row>
    <row r="25" customFormat="false" ht="15" hidden="false" customHeight="false" outlineLevel="0" collapsed="false">
      <c r="A25" s="133" t="s">
        <v>4091</v>
      </c>
      <c r="B25" s="68" t="s">
        <v>4092</v>
      </c>
    </row>
    <row r="26" customFormat="false" ht="15" hidden="false" customHeight="false" outlineLevel="0" collapsed="false">
      <c r="A26" s="133" t="s">
        <v>4093</v>
      </c>
      <c r="B26" s="68" t="s">
        <v>4094</v>
      </c>
    </row>
    <row r="27" customFormat="false" ht="28.5" hidden="false" customHeight="true" outlineLevel="0" collapsed="false">
      <c r="A27" s="133" t="s">
        <v>4095</v>
      </c>
      <c r="B27" s="68" t="s">
        <v>4096</v>
      </c>
    </row>
    <row r="28" customFormat="false" ht="28.5" hidden="false" customHeight="true" outlineLevel="0" collapsed="false">
      <c r="A28" s="133" t="s">
        <v>4097</v>
      </c>
      <c r="B28" s="68" t="s">
        <v>4098</v>
      </c>
    </row>
    <row r="29" customFormat="false" ht="28.5" hidden="false" customHeight="true" outlineLevel="0" collapsed="false">
      <c r="A29" s="133" t="s">
        <v>4099</v>
      </c>
      <c r="B29" s="68" t="s">
        <v>4100</v>
      </c>
    </row>
    <row r="30" customFormat="false" ht="15" hidden="false" customHeight="false" outlineLevel="0" collapsed="false">
      <c r="A30" s="133" t="s">
        <v>4101</v>
      </c>
      <c r="B30" s="68" t="s">
        <v>4102</v>
      </c>
    </row>
    <row r="31" customFormat="false" ht="15" hidden="false" customHeight="false" outlineLevel="0" collapsed="false">
      <c r="A31" s="133" t="s">
        <v>4103</v>
      </c>
      <c r="B31" s="68" t="s">
        <v>4104</v>
      </c>
    </row>
    <row r="32" customFormat="false" ht="28.5" hidden="false" customHeight="true" outlineLevel="0" collapsed="false">
      <c r="A32" s="133" t="s">
        <v>4105</v>
      </c>
      <c r="B32" s="68" t="s">
        <v>4106</v>
      </c>
    </row>
    <row r="33" customFormat="false" ht="15" hidden="false" customHeight="false" outlineLevel="0" collapsed="false">
      <c r="A33" s="133" t="s">
        <v>4107</v>
      </c>
      <c r="B33" s="68" t="s">
        <v>4108</v>
      </c>
    </row>
    <row r="35" customFormat="false" ht="15" hidden="false" customHeight="false" outlineLevel="0" collapsed="false">
      <c r="A35" s="8" t="s">
        <v>4109</v>
      </c>
      <c r="B35" s="8"/>
    </row>
    <row r="36" customFormat="false" ht="15" hidden="false" customHeight="false" outlineLevel="0" collapsed="false">
      <c r="A36" s="133" t="s">
        <v>1683</v>
      </c>
      <c r="B36" s="68" t="s">
        <v>4110</v>
      </c>
    </row>
    <row r="37" customFormat="false" ht="15" hidden="false" customHeight="false" outlineLevel="0" collapsed="false">
      <c r="A37" s="133" t="s">
        <v>4111</v>
      </c>
      <c r="B37" s="68" t="s">
        <v>4112</v>
      </c>
    </row>
    <row r="38" customFormat="false" ht="15" hidden="false" customHeight="false" outlineLevel="0" collapsed="false">
      <c r="A38" s="133" t="s">
        <v>4113</v>
      </c>
      <c r="B38" s="68" t="s">
        <v>4114</v>
      </c>
    </row>
    <row r="39" customFormat="false" ht="15" hidden="false" customHeight="false" outlineLevel="0" collapsed="false">
      <c r="A39" s="133" t="s">
        <v>4115</v>
      </c>
      <c r="B39" s="68" t="s">
        <v>4116</v>
      </c>
    </row>
    <row r="40" customFormat="false" ht="15" hidden="false" customHeight="false" outlineLevel="0" collapsed="false">
      <c r="A40" s="133" t="s">
        <v>4117</v>
      </c>
      <c r="B40" s="68" t="s">
        <v>4118</v>
      </c>
    </row>
    <row r="41" customFormat="false" ht="15" hidden="false" customHeight="false" outlineLevel="0" collapsed="false">
      <c r="A41" s="133" t="s">
        <v>4119</v>
      </c>
      <c r="B41" s="68" t="s">
        <v>4120</v>
      </c>
    </row>
    <row r="43" customFormat="false" ht="15" hidden="false" customHeight="false" outlineLevel="0" collapsed="false">
      <c r="A43" s="8" t="s">
        <v>110</v>
      </c>
      <c r="B43" s="8"/>
    </row>
    <row r="44" customFormat="false" ht="15" hidden="false" customHeight="false" outlineLevel="0" collapsed="false">
      <c r="A44" s="133" t="s">
        <v>4121</v>
      </c>
      <c r="B44" s="68" t="s">
        <v>4122</v>
      </c>
    </row>
    <row r="45" customFormat="false" ht="15" hidden="false" customHeight="false" outlineLevel="0" collapsed="false">
      <c r="A45" s="133" t="s">
        <v>4123</v>
      </c>
      <c r="B45" s="68" t="s">
        <v>4124</v>
      </c>
    </row>
    <row r="46" customFormat="false" ht="15" hidden="false" customHeight="false" outlineLevel="0" collapsed="false">
      <c r="A46" s="133" t="s">
        <v>4125</v>
      </c>
      <c r="B46" s="68" t="s">
        <v>4126</v>
      </c>
    </row>
    <row r="47" customFormat="false" ht="15" hidden="false" customHeight="false" outlineLevel="0" collapsed="false">
      <c r="A47" s="133" t="s">
        <v>4127</v>
      </c>
      <c r="B47" s="68" t="s">
        <v>4128</v>
      </c>
    </row>
    <row r="48" customFormat="false" ht="28.5" hidden="false" customHeight="true" outlineLevel="0" collapsed="false">
      <c r="A48" s="133" t="s">
        <v>4129</v>
      </c>
      <c r="B48" s="68" t="s">
        <v>4130</v>
      </c>
    </row>
    <row r="50" customFormat="false" ht="15" hidden="false" customHeight="false" outlineLevel="0" collapsed="false">
      <c r="A50" s="8" t="s">
        <v>108</v>
      </c>
      <c r="B50" s="8"/>
    </row>
    <row r="51" customFormat="false" ht="15" hidden="false" customHeight="false" outlineLevel="0" collapsed="false">
      <c r="A51" s="133" t="s">
        <v>108</v>
      </c>
      <c r="B51" s="68" t="s">
        <v>4131</v>
      </c>
    </row>
    <row r="53" customFormat="false" ht="15" hidden="false" customHeight="false" outlineLevel="0" collapsed="false">
      <c r="A53" s="8" t="s">
        <v>4132</v>
      </c>
      <c r="B53" s="8"/>
    </row>
    <row r="54" customFormat="false" ht="15" hidden="false" customHeight="false" outlineLevel="0" collapsed="false">
      <c r="A54" s="133" t="s">
        <v>4133</v>
      </c>
      <c r="B54" s="68" t="s">
        <v>4134</v>
      </c>
    </row>
    <row r="55" customFormat="false" ht="15" hidden="false" customHeight="false" outlineLevel="0" collapsed="false">
      <c r="A55" s="133" t="s">
        <v>4135</v>
      </c>
      <c r="B55" s="68" t="s">
        <v>4136</v>
      </c>
    </row>
    <row r="56" customFormat="false" ht="15" hidden="false" customHeight="false" outlineLevel="0" collapsed="false">
      <c r="A56" s="133" t="s">
        <v>4137</v>
      </c>
      <c r="B56" s="68" t="s">
        <v>4138</v>
      </c>
    </row>
    <row r="57" customFormat="false" ht="15" hidden="false" customHeight="false" outlineLevel="0" collapsed="false">
      <c r="A57" s="133" t="s">
        <v>4139</v>
      </c>
      <c r="B57" s="68" t="s">
        <v>4140</v>
      </c>
    </row>
    <row r="59" customFormat="false" ht="15" hidden="false" customHeight="false" outlineLevel="0" collapsed="false">
      <c r="A59" s="8" t="s">
        <v>4141</v>
      </c>
      <c r="B59" s="8"/>
    </row>
    <row r="60" customFormat="false" ht="15" hidden="false" customHeight="false" outlineLevel="0" collapsed="false">
      <c r="A60" s="133" t="s">
        <v>163</v>
      </c>
      <c r="B60" s="68" t="s">
        <v>4142</v>
      </c>
    </row>
    <row r="61" customFormat="false" ht="15" hidden="false" customHeight="false" outlineLevel="0" collapsed="false">
      <c r="A61" s="133" t="s">
        <v>4143</v>
      </c>
      <c r="B61" s="68" t="s">
        <v>4144</v>
      </c>
    </row>
    <row r="62" customFormat="false" ht="15" hidden="false" customHeight="false" outlineLevel="0" collapsed="false">
      <c r="A62" s="133" t="s">
        <v>4145</v>
      </c>
      <c r="B62" s="68" t="s">
        <v>4146</v>
      </c>
    </row>
    <row r="63" customFormat="false" ht="15" hidden="false" customHeight="false" outlineLevel="0" collapsed="false">
      <c r="A63" s="133" t="s">
        <v>4147</v>
      </c>
      <c r="B63" s="68" t="s">
        <v>4148</v>
      </c>
    </row>
    <row r="64" customFormat="false" ht="15" hidden="false" customHeight="false" outlineLevel="0" collapsed="false">
      <c r="A64" s="133" t="s">
        <v>4149</v>
      </c>
      <c r="B64" s="68" t="s">
        <v>4150</v>
      </c>
    </row>
    <row r="65" customFormat="false" ht="15" hidden="false" customHeight="false" outlineLevel="0" collapsed="false">
      <c r="A65" s="133" t="s">
        <v>4151</v>
      </c>
      <c r="B65" s="68" t="s">
        <v>4152</v>
      </c>
    </row>
  </sheetData>
  <mergeCells count="11">
    <mergeCell ref="A1:B1"/>
    <mergeCell ref="A2:B2"/>
    <mergeCell ref="A3:B3"/>
    <mergeCell ref="A4:B4"/>
    <mergeCell ref="A13:B13"/>
    <mergeCell ref="A23:B23"/>
    <mergeCell ref="A35:B35"/>
    <mergeCell ref="A43:B43"/>
    <mergeCell ref="A50:B50"/>
    <mergeCell ref="A53:B53"/>
    <mergeCell ref="A59:B59"/>
  </mergeCells>
  <hyperlinks>
    <hyperlink ref="C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7F7F"/>
    <pageSetUpPr fitToPage="false"/>
  </sheetPr>
  <dimension ref="A1:F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5"/>
    <col collapsed="false" customWidth="true" hidden="false" outlineLevel="0" max="2" min="2" style="0" width="26"/>
    <col collapsed="false" customWidth="true" hidden="false" outlineLevel="0" max="3" min="3" style="0" width="46"/>
    <col collapsed="false" customWidth="true" hidden="false" outlineLevel="0" max="4" min="4" style="0" width="28"/>
    <col collapsed="false" customWidth="true" hidden="false" outlineLevel="0" max="5" min="5" style="0" width="80"/>
    <col collapsed="false" customWidth="true" hidden="false" outlineLevel="0" max="6" min="6" style="0" width="13"/>
  </cols>
  <sheetData>
    <row r="1" customFormat="false" ht="25.5" hidden="false" customHeight="true" outlineLevel="0" collapsed="false">
      <c r="A1" s="1" t="s">
        <v>4153</v>
      </c>
      <c r="B1" s="1"/>
      <c r="C1" s="1"/>
      <c r="D1" s="1"/>
      <c r="E1" s="1"/>
      <c r="F1" s="24" t="s">
        <v>140</v>
      </c>
    </row>
    <row r="2" customFormat="false" ht="30" hidden="false" customHeight="true" outlineLevel="0" collapsed="false">
      <c r="A2" s="2" t="str">
        <f aca="false">"⬤ TAB QUALITY "&amp;IF(ISNUMBER('Quality &amp; Audit'!$B$54),IF('Quality &amp; Audit'!$B$54=INT('Quality &amp; Audit'!$B$54),TEXT('Quality &amp; Audit'!$B$54,"0"),TEXT('Quality &amp; Audit'!$B$54,"0.0")),"—")&amp;"/10 · "&amp;IF(ISNUMBER('Quality &amp; Audit'!$B$54),IF('Quality &amp; Audit'!$B$54&gt;=8,"PASS","FAIL"),"UNSCORED")&amp;" (target ≥8, live from the Quality &amp; Audit score cell)"&amp;" · audit-operand register contract (every embedded operand carries its label + provenance; per-row Cell check formulas) — cell completeness+type contract 100/100 · score = …"&amp;" · full audit: Quality &amp; Audit tab"</f>
        <v>⬤ TAB QUALITY 10/10 · PASS (target ≥8, live from the Quality &amp; Audit score cell) · audit-operand register contract (every embedded operand carries its label + provenance; per-row Cell check formulas) — cell completeness+type contract 100/100 · score = … · full audit: Quality &amp; Audit tab</v>
      </c>
      <c r="B2" s="2"/>
      <c r="C2" s="2"/>
      <c r="D2" s="2"/>
      <c r="E2" s="2"/>
    </row>
    <row r="3" customFormat="false" ht="54" hidden="false" customHeight="true" outlineLevel="0" collapsed="false">
      <c r="A3" s="3" t="s">
        <v>4154</v>
      </c>
      <c r="B3" s="3"/>
      <c r="C3" s="3"/>
      <c r="D3" s="3"/>
      <c r="E3" s="3"/>
    </row>
    <row r="5" customFormat="false" ht="15" hidden="false" customHeight="false" outlineLevel="0" collapsed="false">
      <c r="A5" s="9" t="s">
        <v>82</v>
      </c>
      <c r="B5" s="9" t="s">
        <v>4155</v>
      </c>
      <c r="C5" s="9" t="s">
        <v>4156</v>
      </c>
      <c r="D5" s="9" t="s">
        <v>160</v>
      </c>
      <c r="E5" s="9" t="s">
        <v>4157</v>
      </c>
      <c r="F5" s="10" t="s">
        <v>20</v>
      </c>
    </row>
    <row r="6" customFormat="false" ht="15" hidden="false" customHeight="false" outlineLevel="0" collapsed="false">
      <c r="A6" s="11" t="n">
        <v>1</v>
      </c>
      <c r="B6" s="11" t="s">
        <v>123</v>
      </c>
      <c r="C6" s="68" t="s">
        <v>4158</v>
      </c>
      <c r="D6" s="134" t="s">
        <v>4159</v>
      </c>
      <c r="E6" s="15" t="s">
        <v>4160</v>
      </c>
      <c r="F6" s="16" t="str">
        <f aca="false">IF(AND(LEN(TRIM(A6&amp;""))&gt;0,TRIM(A6&amp;"")&lt;&gt;"—",LEN(TRIM(B6&amp;""))&gt;0,TRIM(B6&amp;"")&lt;&gt;"—",LEN(TRIM(C6&amp;""))&gt;0,TRIM(C6&amp;"")&lt;&gt;"—",LEN(TRIM(E6&amp;""))&gt;0,TRIM(E6&amp;"")&lt;&gt;"—"),"PASS","⚠ FAIL — "&amp;"a required cell is empty/placeholder or wrong type")</f>
        <v>PASS</v>
      </c>
    </row>
    <row r="7" customFormat="false" ht="15" hidden="false" customHeight="false" outlineLevel="0" collapsed="false">
      <c r="A7" s="11" t="n">
        <v>2</v>
      </c>
      <c r="B7" s="11" t="s">
        <v>123</v>
      </c>
      <c r="C7" s="68" t="s">
        <v>4161</v>
      </c>
      <c r="D7" s="134" t="s">
        <v>4162</v>
      </c>
      <c r="E7" s="15" t="s">
        <v>4160</v>
      </c>
      <c r="F7" s="16" t="str">
        <f aca="false">IF(AND(LEN(TRIM(A7&amp;""))&gt;0,TRIM(A7&amp;"")&lt;&gt;"—",LEN(TRIM(B7&amp;""))&gt;0,TRIM(B7&amp;"")&lt;&gt;"—",LEN(TRIM(C7&amp;""))&gt;0,TRIM(C7&amp;"")&lt;&gt;"—",LEN(TRIM(E7&amp;""))&gt;0,TRIM(E7&amp;"")&lt;&gt;"—"),"PASS","⚠ FAIL — "&amp;"a required cell is empty/placeholder or wrong type")</f>
        <v>PASS</v>
      </c>
    </row>
    <row r="8" customFormat="false" ht="15" hidden="false" customHeight="false" outlineLevel="0" collapsed="false">
      <c r="A8" s="11" t="n">
        <v>3</v>
      </c>
      <c r="B8" s="11" t="s">
        <v>123</v>
      </c>
      <c r="C8" s="68" t="s">
        <v>4163</v>
      </c>
      <c r="D8" s="134" t="s">
        <v>4159</v>
      </c>
      <c r="E8" s="15" t="s">
        <v>4160</v>
      </c>
      <c r="F8" s="16" t="str">
        <f aca="false">IF(AND(LEN(TRIM(A8&amp;""))&gt;0,TRIM(A8&amp;"")&lt;&gt;"—",LEN(TRIM(B8&amp;""))&gt;0,TRIM(B8&amp;"")&lt;&gt;"—",LEN(TRIM(C8&amp;""))&gt;0,TRIM(C8&amp;"")&lt;&gt;"—",LEN(TRIM(E8&amp;""))&gt;0,TRIM(E8&amp;"")&lt;&gt;"—"),"PASS","⚠ FAIL — "&amp;"a required cell is empty/placeholder or wrong type")</f>
        <v>PASS</v>
      </c>
    </row>
    <row r="9" customFormat="false" ht="15" hidden="false" customHeight="false" outlineLevel="0" collapsed="false">
      <c r="A9" s="11" t="n">
        <v>4</v>
      </c>
      <c r="B9" s="11" t="s">
        <v>123</v>
      </c>
      <c r="C9" s="68" t="s">
        <v>4164</v>
      </c>
      <c r="D9" s="134" t="s">
        <v>4159</v>
      </c>
      <c r="E9" s="15" t="s">
        <v>4160</v>
      </c>
      <c r="F9" s="16" t="str">
        <f aca="false">IF(AND(LEN(TRIM(A9&amp;""))&gt;0,TRIM(A9&amp;"")&lt;&gt;"—",LEN(TRIM(B9&amp;""))&gt;0,TRIM(B9&amp;"")&lt;&gt;"—",LEN(TRIM(C9&amp;""))&gt;0,TRIM(C9&amp;"")&lt;&gt;"—",LEN(TRIM(E9&amp;""))&gt;0,TRIM(E9&amp;"")&lt;&gt;"—"),"PASS","⚠ FAIL — "&amp;"a required cell is empty/placeholder or wrong type")</f>
        <v>PASS</v>
      </c>
    </row>
    <row r="10" customFormat="false" ht="15" hidden="false" customHeight="false" outlineLevel="0" collapsed="false">
      <c r="A10" s="11" t="n">
        <v>5</v>
      </c>
      <c r="B10" s="11" t="s">
        <v>123</v>
      </c>
      <c r="C10" s="68" t="s">
        <v>4165</v>
      </c>
      <c r="D10" s="134" t="s">
        <v>4159</v>
      </c>
      <c r="E10" s="15" t="s">
        <v>4160</v>
      </c>
      <c r="F10" s="16" t="str">
        <f aca="false">IF(AND(LEN(TRIM(A10&amp;""))&gt;0,TRIM(A10&amp;"")&lt;&gt;"—",LEN(TRIM(B10&amp;""))&gt;0,TRIM(B10&amp;"")&lt;&gt;"—",LEN(TRIM(C10&amp;""))&gt;0,TRIM(C10&amp;"")&lt;&gt;"—",LEN(TRIM(E10&amp;""))&gt;0,TRIM(E10&amp;"")&lt;&gt;"—"),"PASS","⚠ FAIL — "&amp;"a required cell is empty/placeholder or wrong type")</f>
        <v>PASS</v>
      </c>
    </row>
    <row r="11" customFormat="false" ht="15" hidden="false" customHeight="false" outlineLevel="0" collapsed="false">
      <c r="A11" s="11" t="n">
        <v>6</v>
      </c>
      <c r="B11" s="11" t="s">
        <v>123</v>
      </c>
      <c r="C11" s="68" t="s">
        <v>4166</v>
      </c>
      <c r="D11" s="134" t="s">
        <v>4159</v>
      </c>
      <c r="E11" s="15" t="s">
        <v>4160</v>
      </c>
      <c r="F11" s="16" t="str">
        <f aca="false">IF(AND(LEN(TRIM(A11&amp;""))&gt;0,TRIM(A11&amp;"")&lt;&gt;"—",LEN(TRIM(B11&amp;""))&gt;0,TRIM(B11&amp;"")&lt;&gt;"—",LEN(TRIM(C11&amp;""))&gt;0,TRIM(C11&amp;"")&lt;&gt;"—",LEN(TRIM(E11&amp;""))&gt;0,TRIM(E11&amp;"")&lt;&gt;"—"),"PASS","⚠ FAIL — "&amp;"a required cell is empty/placeholder or wrong type")</f>
        <v>PASS</v>
      </c>
    </row>
    <row r="12" customFormat="false" ht="15" hidden="false" customHeight="false" outlineLevel="0" collapsed="false">
      <c r="A12" s="11" t="n">
        <v>7</v>
      </c>
      <c r="B12" s="11" t="s">
        <v>110</v>
      </c>
      <c r="C12" s="68" t="s">
        <v>4167</v>
      </c>
      <c r="D12" s="134" t="n">
        <v>5</v>
      </c>
      <c r="E12" s="15" t="s">
        <v>4168</v>
      </c>
      <c r="F12" s="16" t="str">
        <f aca="false">IF(AND(LEN(TRIM(A12&amp;""))&gt;0,TRIM(A12&amp;"")&lt;&gt;"—",LEN(TRIM(B12&amp;""))&gt;0,TRIM(B12&amp;"")&lt;&gt;"—",LEN(TRIM(C12&amp;""))&gt;0,TRIM(C12&amp;"")&lt;&gt;"—",LEN(TRIM(E12&amp;""))&gt;0,TRIM(E12&amp;"")&lt;&gt;"—"),"PASS","⚠ FAIL — "&amp;"a required cell is empty/placeholder or wrong type")</f>
        <v>PASS</v>
      </c>
    </row>
    <row r="13" customFormat="false" ht="23.85" hidden="false" customHeight="false" outlineLevel="0" collapsed="false">
      <c r="A13" s="11" t="n">
        <v>8</v>
      </c>
      <c r="B13" s="11" t="s">
        <v>110</v>
      </c>
      <c r="C13" s="68" t="s">
        <v>4169</v>
      </c>
      <c r="D13" s="134" t="n">
        <v>400</v>
      </c>
      <c r="E13" s="15" t="s">
        <v>4170</v>
      </c>
      <c r="F13" s="16" t="str">
        <f aca="false">IF(AND(LEN(TRIM(A13&amp;""))&gt;0,TRIM(A13&amp;"")&lt;&gt;"—",LEN(TRIM(B13&amp;""))&gt;0,TRIM(B13&amp;"")&lt;&gt;"—",LEN(TRIM(C13&amp;""))&gt;0,TRIM(C13&amp;"")&lt;&gt;"—",LEN(TRIM(E13&amp;""))&gt;0,TRIM(E13&amp;"")&lt;&gt;"—"),"PASS","⚠ FAIL — "&amp;"a required cell is empty/placeholder or wrong type")</f>
        <v>PASS</v>
      </c>
    </row>
    <row r="14" customFormat="false" ht="23.85" hidden="false" customHeight="false" outlineLevel="0" collapsed="false">
      <c r="A14" s="11" t="n">
        <v>9</v>
      </c>
      <c r="B14" s="11" t="s">
        <v>110</v>
      </c>
      <c r="C14" s="68" t="s">
        <v>4171</v>
      </c>
      <c r="D14" s="134" t="n">
        <v>1.73205080756888</v>
      </c>
      <c r="E14" s="15" t="s">
        <v>4172</v>
      </c>
      <c r="F14" s="16" t="str">
        <f aca="false">IF(AND(LEN(TRIM(A14&amp;""))&gt;0,TRIM(A14&amp;"")&lt;&gt;"—",LEN(TRIM(B14&amp;""))&gt;0,TRIM(B14&amp;"")&lt;&gt;"—",LEN(TRIM(C14&amp;""))&gt;0,TRIM(C14&amp;"")&lt;&gt;"—",LEN(TRIM(E14&amp;""))&gt;0,TRIM(E14&amp;"")&lt;&gt;"—"),"PASS","⚠ FAIL — "&amp;"a required cell is empty/placeholder or wrong type")</f>
        <v>PASS</v>
      </c>
    </row>
    <row r="15" customFormat="false" ht="15" hidden="false" customHeight="false" outlineLevel="0" collapsed="false">
      <c r="A15" s="11" t="n">
        <v>10</v>
      </c>
      <c r="B15" s="11" t="s">
        <v>110</v>
      </c>
      <c r="C15" s="68" t="s">
        <v>4173</v>
      </c>
      <c r="D15" s="134" t="n">
        <v>400</v>
      </c>
      <c r="E15" s="15" t="s">
        <v>4174</v>
      </c>
      <c r="F15" s="16" t="str">
        <f aca="false">IF(AND(LEN(TRIM(A15&amp;""))&gt;0,TRIM(A15&amp;"")&lt;&gt;"—",LEN(TRIM(B15&amp;""))&gt;0,TRIM(B15&amp;"")&lt;&gt;"—",LEN(TRIM(C15&amp;""))&gt;0,TRIM(C15&amp;"")&lt;&gt;"—",LEN(TRIM(E15&amp;""))&gt;0,TRIM(E15&amp;"")&lt;&gt;"—"),"PASS","⚠ FAIL — "&amp;"a required cell is empty/placeholder or wrong type")</f>
        <v>PASS</v>
      </c>
    </row>
    <row r="16" customFormat="false" ht="15" hidden="false" customHeight="false" outlineLevel="0" collapsed="false">
      <c r="A16" s="11" t="n">
        <v>11</v>
      </c>
      <c r="B16" s="11" t="s">
        <v>110</v>
      </c>
      <c r="C16" s="68" t="s">
        <v>4175</v>
      </c>
      <c r="D16" s="134" t="n">
        <v>1.73205080756888</v>
      </c>
      <c r="E16" s="15" t="s">
        <v>4172</v>
      </c>
      <c r="F16" s="16" t="str">
        <f aca="false">IF(AND(LEN(TRIM(A16&amp;""))&gt;0,TRIM(A16&amp;"")&lt;&gt;"—",LEN(TRIM(B16&amp;""))&gt;0,TRIM(B16&amp;"")&lt;&gt;"—",LEN(TRIM(C16&amp;""))&gt;0,TRIM(C16&amp;"")&lt;&gt;"—",LEN(TRIM(E16&amp;""))&gt;0,TRIM(E16&amp;"")&lt;&gt;"—"),"PASS","⚠ FAIL — "&amp;"a required cell is empty/placeholder or wrong type")</f>
        <v>PASS</v>
      </c>
    </row>
    <row r="17" customFormat="false" ht="23.85" hidden="false" customHeight="false" outlineLevel="0" collapsed="false">
      <c r="A17" s="11" t="n">
        <v>12</v>
      </c>
      <c r="B17" s="11" t="s">
        <v>4176</v>
      </c>
      <c r="C17" s="68" t="s">
        <v>4177</v>
      </c>
      <c r="D17" s="134" t="n">
        <v>1</v>
      </c>
      <c r="E17" s="15" t="s">
        <v>4178</v>
      </c>
      <c r="F17" s="16" t="str">
        <f aca="false">IF(AND(LEN(TRIM(A17&amp;""))&gt;0,TRIM(A17&amp;"")&lt;&gt;"—",LEN(TRIM(B17&amp;""))&gt;0,TRIM(B17&amp;"")&lt;&gt;"—",LEN(TRIM(C17&amp;""))&gt;0,TRIM(C17&amp;"")&lt;&gt;"—",LEN(TRIM(E17&amp;""))&gt;0,TRIM(E17&amp;"")&lt;&gt;"—"),"PASS","⚠ FAIL — "&amp;"a required cell is empty/placeholder or wrong type")</f>
        <v>PASS</v>
      </c>
    </row>
    <row r="18" customFormat="false" ht="23.85" hidden="false" customHeight="false" outlineLevel="0" collapsed="false">
      <c r="A18" s="11" t="n">
        <v>13</v>
      </c>
      <c r="B18" s="11" t="s">
        <v>4176</v>
      </c>
      <c r="C18" s="68" t="s">
        <v>4179</v>
      </c>
      <c r="D18" s="134" t="s">
        <v>4180</v>
      </c>
      <c r="E18" s="15" t="s">
        <v>4181</v>
      </c>
      <c r="F18" s="16" t="str">
        <f aca="false">IF(AND(LEN(TRIM(A18&amp;""))&gt;0,TRIM(A18&amp;"")&lt;&gt;"—",LEN(TRIM(B18&amp;""))&gt;0,TRIM(B18&amp;"")&lt;&gt;"—",LEN(TRIM(C18&amp;""))&gt;0,TRIM(C18&amp;"")&lt;&gt;"—",LEN(TRIM(E18&amp;""))&gt;0,TRIM(E18&amp;"")&lt;&gt;"—"),"PASS","⚠ FAIL — "&amp;"a required cell is empty/placeholder or wrong type")</f>
        <v>PASS</v>
      </c>
    </row>
    <row r="19" customFormat="false" ht="23.85" hidden="false" customHeight="false" outlineLevel="0" collapsed="false">
      <c r="A19" s="11" t="n">
        <v>14</v>
      </c>
      <c r="B19" s="11" t="s">
        <v>4176</v>
      </c>
      <c r="C19" s="68" t="s">
        <v>4182</v>
      </c>
      <c r="D19" s="134" t="s">
        <v>1831</v>
      </c>
      <c r="E19" s="15" t="s">
        <v>4183</v>
      </c>
      <c r="F19" s="16" t="str">
        <f aca="false">IF(AND(LEN(TRIM(A19&amp;""))&gt;0,TRIM(A19&amp;"")&lt;&gt;"—",LEN(TRIM(B19&amp;""))&gt;0,TRIM(B19&amp;"")&lt;&gt;"—",LEN(TRIM(C19&amp;""))&gt;0,TRIM(C19&amp;"")&lt;&gt;"—",LEN(TRIM(E19&amp;""))&gt;0,TRIM(E19&amp;"")&lt;&gt;"—"),"PASS","⚠ FAIL — "&amp;"a required cell is empty/placeholder or wrong type")</f>
        <v>PASS</v>
      </c>
    </row>
    <row r="20" customFormat="false" ht="23.85" hidden="false" customHeight="false" outlineLevel="0" collapsed="false">
      <c r="A20" s="11" t="n">
        <v>15</v>
      </c>
      <c r="B20" s="11" t="s">
        <v>4176</v>
      </c>
      <c r="C20" s="68" t="s">
        <v>4184</v>
      </c>
      <c r="D20" s="134"/>
      <c r="E20" s="15" t="s">
        <v>4185</v>
      </c>
      <c r="F20" s="16" t="str">
        <f aca="false">IF(AND(LEN(TRIM(A20&amp;""))&gt;0,TRIM(A20&amp;"")&lt;&gt;"—",LEN(TRIM(B20&amp;""))&gt;0,TRIM(B20&amp;"")&lt;&gt;"—",LEN(TRIM(C20&amp;""))&gt;0,TRIM(C20&amp;"")&lt;&gt;"—",LEN(TRIM(E20&amp;""))&gt;0,TRIM(E20&amp;"")&lt;&gt;"—"),"PASS","⚠ FAIL — "&amp;"a required cell is empty/placeholder or wrong type")</f>
        <v>PASS</v>
      </c>
    </row>
    <row r="21" customFormat="false" ht="23.85" hidden="false" customHeight="false" outlineLevel="0" collapsed="false">
      <c r="A21" s="11" t="n">
        <v>16</v>
      </c>
      <c r="B21" s="11" t="s">
        <v>4176</v>
      </c>
      <c r="C21" s="68" t="s">
        <v>4186</v>
      </c>
      <c r="D21" s="134" t="n">
        <v>1</v>
      </c>
      <c r="E21" s="15" t="s">
        <v>4178</v>
      </c>
      <c r="F21" s="16" t="str">
        <f aca="false">IF(AND(LEN(TRIM(A21&amp;""))&gt;0,TRIM(A21&amp;"")&lt;&gt;"—",LEN(TRIM(B21&amp;""))&gt;0,TRIM(B21&amp;"")&lt;&gt;"—",LEN(TRIM(C21&amp;""))&gt;0,TRIM(C21&amp;"")&lt;&gt;"—",LEN(TRIM(E21&amp;""))&gt;0,TRIM(E21&amp;"")&lt;&gt;"—"),"PASS","⚠ FAIL — "&amp;"a required cell is empty/placeholder or wrong type")</f>
        <v>PASS</v>
      </c>
    </row>
    <row r="22" customFormat="false" ht="23.85" hidden="false" customHeight="false" outlineLevel="0" collapsed="false">
      <c r="A22" s="11" t="n">
        <v>17</v>
      </c>
      <c r="B22" s="11" t="s">
        <v>4176</v>
      </c>
      <c r="C22" s="68" t="s">
        <v>4187</v>
      </c>
      <c r="D22" s="134" t="s">
        <v>4180</v>
      </c>
      <c r="E22" s="15" t="s">
        <v>4181</v>
      </c>
      <c r="F22" s="16" t="str">
        <f aca="false">IF(AND(LEN(TRIM(A22&amp;""))&gt;0,TRIM(A22&amp;"")&lt;&gt;"—",LEN(TRIM(B22&amp;""))&gt;0,TRIM(B22&amp;"")&lt;&gt;"—",LEN(TRIM(C22&amp;""))&gt;0,TRIM(C22&amp;"")&lt;&gt;"—",LEN(TRIM(E22&amp;""))&gt;0,TRIM(E22&amp;"")&lt;&gt;"—"),"PASS","⚠ FAIL — "&amp;"a required cell is empty/placeholder or wrong type")</f>
        <v>PASS</v>
      </c>
    </row>
    <row r="23" customFormat="false" ht="23.85" hidden="false" customHeight="false" outlineLevel="0" collapsed="false">
      <c r="A23" s="11" t="n">
        <v>18</v>
      </c>
      <c r="B23" s="11" t="s">
        <v>4176</v>
      </c>
      <c r="C23" s="68" t="s">
        <v>4188</v>
      </c>
      <c r="D23" s="134" t="s">
        <v>1883</v>
      </c>
      <c r="E23" s="15" t="s">
        <v>4183</v>
      </c>
      <c r="F23" s="16" t="str">
        <f aca="false">IF(AND(LEN(TRIM(A23&amp;""))&gt;0,TRIM(A23&amp;"")&lt;&gt;"—",LEN(TRIM(B23&amp;""))&gt;0,TRIM(B23&amp;"")&lt;&gt;"—",LEN(TRIM(C23&amp;""))&gt;0,TRIM(C23&amp;"")&lt;&gt;"—",LEN(TRIM(E23&amp;""))&gt;0,TRIM(E23&amp;"")&lt;&gt;"—"),"PASS","⚠ FAIL — "&amp;"a required cell is empty/placeholder or wrong type")</f>
        <v>PASS</v>
      </c>
    </row>
    <row r="24" customFormat="false" ht="23.85" hidden="false" customHeight="false" outlineLevel="0" collapsed="false">
      <c r="A24" s="11" t="n">
        <v>19</v>
      </c>
      <c r="B24" s="11" t="s">
        <v>4176</v>
      </c>
      <c r="C24" s="68" t="s">
        <v>4189</v>
      </c>
      <c r="D24" s="134"/>
      <c r="E24" s="15" t="s">
        <v>4185</v>
      </c>
      <c r="F24" s="16" t="str">
        <f aca="false">IF(AND(LEN(TRIM(A24&amp;""))&gt;0,TRIM(A24&amp;"")&lt;&gt;"—",LEN(TRIM(B24&amp;""))&gt;0,TRIM(B24&amp;"")&lt;&gt;"—",LEN(TRIM(C24&amp;""))&gt;0,TRIM(C24&amp;"")&lt;&gt;"—",LEN(TRIM(E24&amp;""))&gt;0,TRIM(E24&amp;"")&lt;&gt;"—"),"PASS","⚠ FAIL — "&amp;"a required cell is empty/placeholder or wrong type")</f>
        <v>PASS</v>
      </c>
    </row>
    <row r="25" customFormat="false" ht="15" hidden="false" customHeight="false" outlineLevel="0" collapsed="false">
      <c r="A25" s="11" t="n">
        <v>20</v>
      </c>
      <c r="B25" s="11" t="s">
        <v>4176</v>
      </c>
      <c r="C25" s="68" t="s">
        <v>4190</v>
      </c>
      <c r="D25" s="134" t="s">
        <v>4191</v>
      </c>
      <c r="E25" s="15" t="s">
        <v>4192</v>
      </c>
      <c r="F25" s="16" t="str">
        <f aca="false">IF(AND(LEN(TRIM(A25&amp;""))&gt;0,TRIM(A25&amp;"")&lt;&gt;"—",LEN(TRIM(B25&amp;""))&gt;0,TRIM(B25&amp;"")&lt;&gt;"—",LEN(TRIM(C25&amp;""))&gt;0,TRIM(C25&amp;"")&lt;&gt;"—",LEN(TRIM(E25&amp;""))&gt;0,TRIM(E25&amp;"")&lt;&gt;"—"),"PASS","⚠ FAIL — "&amp;"a required cell is empty/placeholder or wrong type")</f>
        <v>PASS</v>
      </c>
    </row>
    <row r="26" customFormat="false" ht="15" hidden="false" customHeight="false" outlineLevel="0" collapsed="false">
      <c r="A26" s="11" t="n">
        <v>21</v>
      </c>
      <c r="B26" s="11" t="s">
        <v>4176</v>
      </c>
      <c r="C26" s="68" t="s">
        <v>4193</v>
      </c>
      <c r="D26" s="134" t="s">
        <v>4191</v>
      </c>
      <c r="E26" s="15" t="s">
        <v>4194</v>
      </c>
      <c r="F26" s="16" t="str">
        <f aca="false">IF(AND(LEN(TRIM(A26&amp;""))&gt;0,TRIM(A26&amp;"")&lt;&gt;"—",LEN(TRIM(B26&amp;""))&gt;0,TRIM(B26&amp;"")&lt;&gt;"—",LEN(TRIM(C26&amp;""))&gt;0,TRIM(C26&amp;"")&lt;&gt;"—",LEN(TRIM(E26&amp;""))&gt;0,TRIM(E26&amp;"")&lt;&gt;"—"),"PASS","⚠ FAIL — "&amp;"a required cell is empty/placeholder or wrong type")</f>
        <v>PASS</v>
      </c>
    </row>
    <row r="27" customFormat="false" ht="23.85" hidden="false" customHeight="false" outlineLevel="0" collapsed="false">
      <c r="A27" s="11" t="n">
        <v>22</v>
      </c>
      <c r="B27" s="11" t="s">
        <v>4176</v>
      </c>
      <c r="C27" s="68" t="s">
        <v>4195</v>
      </c>
      <c r="D27" s="134" t="s">
        <v>1821</v>
      </c>
      <c r="E27" s="15" t="s">
        <v>4196</v>
      </c>
      <c r="F27" s="16" t="str">
        <f aca="false">IF(AND(LEN(TRIM(A27&amp;""))&gt;0,TRIM(A27&amp;"")&lt;&gt;"—",LEN(TRIM(B27&amp;""))&gt;0,TRIM(B27&amp;"")&lt;&gt;"—",LEN(TRIM(C27&amp;""))&gt;0,TRIM(C27&amp;"")&lt;&gt;"—",LEN(TRIM(E27&amp;""))&gt;0,TRIM(E27&amp;"")&lt;&gt;"—"),"PASS","⚠ FAIL — "&amp;"a required cell is empty/placeholder or wrong type")</f>
        <v>PASS</v>
      </c>
    </row>
    <row r="28" customFormat="false" ht="23.85" hidden="false" customHeight="false" outlineLevel="0" collapsed="false">
      <c r="A28" s="11" t="n">
        <v>23</v>
      </c>
      <c r="B28" s="11" t="s">
        <v>4176</v>
      </c>
      <c r="C28" s="68" t="s">
        <v>4197</v>
      </c>
      <c r="D28" s="134" t="s">
        <v>4198</v>
      </c>
      <c r="E28" s="15" t="s">
        <v>4199</v>
      </c>
      <c r="F28" s="16" t="str">
        <f aca="false">IF(AND(LEN(TRIM(A28&amp;""))&gt;0,TRIM(A28&amp;"")&lt;&gt;"—",LEN(TRIM(B28&amp;""))&gt;0,TRIM(B28&amp;"")&lt;&gt;"—",LEN(TRIM(C28&amp;""))&gt;0,TRIM(C28&amp;"")&lt;&gt;"—",LEN(TRIM(E28&amp;""))&gt;0,TRIM(E28&amp;"")&lt;&gt;"—"),"PASS","⚠ FAIL — "&amp;"a required cell is empty/placeholder or wrong type")</f>
        <v>PASS</v>
      </c>
    </row>
    <row r="29" customFormat="false" ht="15" hidden="false" customHeight="false" outlineLevel="0" collapsed="false">
      <c r="A29" s="11" t="n">
        <v>24</v>
      </c>
      <c r="B29" s="11" t="s">
        <v>4176</v>
      </c>
      <c r="C29" s="68" t="s">
        <v>4200</v>
      </c>
      <c r="D29" s="134" t="n">
        <v>75</v>
      </c>
      <c r="E29" s="15" t="s">
        <v>4201</v>
      </c>
      <c r="F29" s="16" t="str">
        <f aca="false">IF(AND(LEN(TRIM(A29&amp;""))&gt;0,TRIM(A29&amp;"")&lt;&gt;"—",LEN(TRIM(B29&amp;""))&gt;0,TRIM(B29&amp;"")&lt;&gt;"—",LEN(TRIM(C29&amp;""))&gt;0,TRIM(C29&amp;"")&lt;&gt;"—",LEN(TRIM(E29&amp;""))&gt;0,TRIM(E29&amp;"")&lt;&gt;"—"),"PASS","⚠ FAIL — "&amp;"a required cell is empty/placeholder or wrong type")</f>
        <v>PASS</v>
      </c>
    </row>
    <row r="30" customFormat="false" ht="15" hidden="false" customHeight="false" outlineLevel="0" collapsed="false">
      <c r="A30" s="11" t="n">
        <v>25</v>
      </c>
      <c r="B30" s="11" t="s">
        <v>4176</v>
      </c>
      <c r="C30" s="68" t="s">
        <v>4202</v>
      </c>
      <c r="D30" s="134" t="n">
        <v>75</v>
      </c>
      <c r="E30" s="15" t="s">
        <v>4203</v>
      </c>
      <c r="F30" s="16" t="str">
        <f aca="false">IF(AND(LEN(TRIM(A30&amp;""))&gt;0,TRIM(A30&amp;"")&lt;&gt;"—",LEN(TRIM(B30&amp;""))&gt;0,TRIM(B30&amp;"")&lt;&gt;"—",LEN(TRIM(C30&amp;""))&gt;0,TRIM(C30&amp;"")&lt;&gt;"—",LEN(TRIM(E30&amp;""))&gt;0,TRIM(E30&amp;"")&lt;&gt;"—"),"PASS","⚠ FAIL — "&amp;"a required cell is empty/placeholder or wrong type")</f>
        <v>PASS</v>
      </c>
    </row>
  </sheetData>
  <mergeCells count="3">
    <mergeCell ref="A1:E1"/>
    <mergeCell ref="A2:E2"/>
    <mergeCell ref="A3:E3"/>
  </mergeCells>
  <hyperlinks>
    <hyperlink ref="F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F5597"/>
    <pageSetUpPr fitToPage="false"/>
  </sheetPr>
  <dimension ref="A1:G1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7" min="7" style="0" width="13"/>
  </cols>
  <sheetData>
    <row r="1" customFormat="false" ht="25.5" hidden="false" customHeight="true" outlineLevel="0" collapsed="false">
      <c r="A1" s="1" t="s">
        <v>191</v>
      </c>
      <c r="B1" s="1"/>
      <c r="C1" s="1"/>
      <c r="D1" s="1"/>
      <c r="E1" s="1"/>
      <c r="F1" s="1"/>
      <c r="G1" s="24" t="s">
        <v>140</v>
      </c>
    </row>
    <row r="2" customFormat="false" ht="30" hidden="false" customHeight="true" outlineLevel="0" collapsed="false">
      <c r="A2" s="2" t="str">
        <f aca="false">"⬤ TAB QUALITY "&amp;IF(ISNUMBER('Quality &amp; Audit'!$B$46),IF('Quality &amp; Audit'!$B$46=INT('Quality &amp; Audit'!$B$46),TEXT('Quality &amp; Audit'!$B$46,"0"),TEXT('Quality &amp; Audit'!$B$46,"0.0")),"—")&amp;"/10 · "&amp;IF(ISNUMBER('Quality &amp; Audit'!$B$46),IF('Quality &amp; Audit'!$B$46&gt;=8,"PASS","FAIL"),"UNSCORED")&amp;" (target ≥8, live from the Quality &amp; Audit score cell)"&amp;" · render mechanism: parts-ledger coverage × default-size litter × typed-shape × vision-critic verdict (render-vision-critique.json) — drawing part coverage (blender) 29/30…"&amp;" · full audit: Quality &amp; Audit tab"</f>
        <v>⬤ TAB QUALITY 9.7/10 · PASS (target ≥8, live from the Quality &amp; Audit score cell) · render mechanism: parts-ledger coverage × default-size litter × typed-shape × vision-critic verdict (render-vision-critique.json) — drawing part coverage (blender) 29/30… · full audit: Quality &amp; Audit tab</v>
      </c>
      <c r="B2" s="2"/>
      <c r="C2" s="2"/>
      <c r="D2" s="2"/>
      <c r="E2" s="2"/>
      <c r="F2" s="2"/>
    </row>
    <row r="3" customFormat="false" ht="66.75" hidden="false" customHeight="true" outlineLevel="0" collapsed="false">
      <c r="A3" s="3" t="s">
        <v>192</v>
      </c>
      <c r="B3" s="3"/>
      <c r="C3" s="3"/>
      <c r="D3" s="3"/>
      <c r="E3" s="3"/>
      <c r="F3" s="3"/>
    </row>
    <row r="5" customFormat="false" ht="15" hidden="false" customHeight="false" outlineLevel="0" collapsed="false">
      <c r="A5" s="8" t="s">
        <v>193</v>
      </c>
      <c r="B5" s="8"/>
      <c r="C5" s="8"/>
      <c r="D5" s="8"/>
      <c r="E5" s="8"/>
      <c r="F5" s="8"/>
    </row>
    <row r="6" customFormat="false" ht="30" hidden="false" customHeight="true" outlineLevel="0" collapsed="false">
      <c r="A6" s="6" t="s">
        <v>194</v>
      </c>
      <c r="B6" s="6"/>
      <c r="C6" s="6"/>
      <c r="D6" s="6"/>
      <c r="E6" s="6"/>
      <c r="F6" s="6"/>
    </row>
    <row r="59" customFormat="false" ht="15" hidden="false" customHeight="false" outlineLevel="0" collapsed="false">
      <c r="A59" s="8" t="s">
        <v>195</v>
      </c>
      <c r="B59" s="8"/>
      <c r="C59" s="8"/>
      <c r="D59" s="8"/>
      <c r="E59" s="8"/>
      <c r="F59" s="8"/>
    </row>
    <row r="60" customFormat="false" ht="30" hidden="false" customHeight="true" outlineLevel="0" collapsed="false">
      <c r="A60" s="6" t="s">
        <v>196</v>
      </c>
      <c r="B60" s="6"/>
      <c r="C60" s="6"/>
      <c r="D60" s="6"/>
      <c r="E60" s="6"/>
      <c r="F60" s="6"/>
    </row>
    <row r="113" customFormat="false" ht="15" hidden="false" customHeight="false" outlineLevel="0" collapsed="false">
      <c r="A113" s="8" t="s">
        <v>197</v>
      </c>
      <c r="B113" s="8"/>
      <c r="C113" s="8"/>
      <c r="D113" s="8"/>
      <c r="E113" s="8"/>
      <c r="F113" s="8"/>
    </row>
    <row r="114" customFormat="false" ht="30" hidden="false" customHeight="true" outlineLevel="0" collapsed="false">
      <c r="A114" s="6" t="s">
        <v>198</v>
      </c>
      <c r="B114" s="6"/>
      <c r="C114" s="6"/>
      <c r="D114" s="6"/>
      <c r="E114" s="6"/>
      <c r="F114" s="6"/>
    </row>
    <row r="167" customFormat="false" ht="15" hidden="false" customHeight="false" outlineLevel="0" collapsed="false">
      <c r="A167" s="8" t="s">
        <v>199</v>
      </c>
      <c r="B167" s="8"/>
      <c r="C167" s="8"/>
      <c r="D167" s="8"/>
      <c r="E167" s="8"/>
      <c r="F167" s="8"/>
    </row>
    <row r="168" customFormat="false" ht="30" hidden="false" customHeight="true" outlineLevel="0" collapsed="false">
      <c r="A168" s="6" t="s">
        <v>200</v>
      </c>
      <c r="B168" s="6"/>
      <c r="C168" s="6"/>
      <c r="D168" s="6"/>
      <c r="E168" s="6"/>
      <c r="F168" s="6"/>
    </row>
  </sheetData>
  <mergeCells count="11">
    <mergeCell ref="A1:F1"/>
    <mergeCell ref="A2:F2"/>
    <mergeCell ref="A3:F3"/>
    <mergeCell ref="A5:F5"/>
    <mergeCell ref="A6:F6"/>
    <mergeCell ref="A59:F59"/>
    <mergeCell ref="A60:F60"/>
    <mergeCell ref="A113:F113"/>
    <mergeCell ref="A114:F114"/>
    <mergeCell ref="A167:F167"/>
    <mergeCell ref="A168:F168"/>
  </mergeCells>
  <hyperlinks>
    <hyperlink ref="G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F5597"/>
    <pageSetUpPr fitToPage="false"/>
  </sheetPr>
  <dimension ref="A1:I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8"/>
    <col collapsed="false" customWidth="true" hidden="false" outlineLevel="0" max="3" min="2" style="0" width="18"/>
    <col collapsed="false" customWidth="true" hidden="false" outlineLevel="0" max="4" min="4" style="0" width="62"/>
    <col collapsed="false" customWidth="true" hidden="false" outlineLevel="0" max="5" min="5" style="0" width="13"/>
    <col collapsed="false" customWidth="true" hidden="false" outlineLevel="0" max="6" min="6" style="0" width="14"/>
    <col collapsed="false" customWidth="true" hidden="false" outlineLevel="0" max="7" min="7" style="0" width="13"/>
    <col collapsed="false" customWidth="true" hidden="false" outlineLevel="0" max="8" min="8" style="0" width="14"/>
    <col collapsed="false" customWidth="true" hidden="false" outlineLevel="0" max="9" min="9" style="0" width="13"/>
  </cols>
  <sheetData>
    <row r="1" customFormat="false" ht="25.5" hidden="false" customHeight="true" outlineLevel="0" collapsed="false">
      <c r="A1" s="1" t="s">
        <v>201</v>
      </c>
      <c r="B1" s="1"/>
      <c r="C1" s="1"/>
      <c r="D1" s="1"/>
      <c r="E1" s="1"/>
      <c r="F1" s="1"/>
      <c r="G1" s="1"/>
      <c r="H1" s="1"/>
      <c r="I1" s="24" t="s">
        <v>140</v>
      </c>
    </row>
    <row r="2" customFormat="false" ht="30" hidden="false" customHeight="true" outlineLevel="0" collapsed="false">
      <c r="A2" s="2" t="str">
        <f aca="false">"⬤ TAB QUALITY "&amp;IF(ISNUMBER('Quality &amp; Audit'!$B$32),IF('Quality &amp; Audit'!$B$32=INT('Quality &amp; Audit'!$B$32),TEXT('Quality &amp; Audit'!$B$32,"0"),TEXT('Quality &amp; Audit'!$B$32,"0.0")),"—")&amp;"/10 · "&amp;IF(ISNUMBER('Quality &amp; Audit'!$B$32),IF('Quality &amp; Audit'!$B$32&gt;=8,"PASS","FAIL"),"UNSCORED")&amp;" (target ≥8, live from the Quality &amp; Audit score cell)"&amp;" · cost-waterfall arithmetic ties (each step vs its named costStack anchor; sums close) — waterfall rows tie live to their stated costStack anchor 6/6; assembly/install row…"&amp;" · full audit: Quality &amp; Audit tab"</f>
        <v>⬤ TAB QUALITY 10/10 · PASS (target ≥8, live from the Quality &amp; Audit score cell) · cost-waterfall arithmetic ties (each step vs its named costStack anchor; sums close) — waterfall rows tie live to their stated costStack anchor 6/6; assembly/install row… · full audit: Quality &amp; Audit tab</v>
      </c>
      <c r="B2" s="2"/>
      <c r="C2" s="2"/>
      <c r="D2" s="2"/>
      <c r="E2" s="2"/>
      <c r="F2" s="2"/>
      <c r="G2" s="2"/>
      <c r="H2" s="2"/>
    </row>
    <row r="3" customFormat="false" ht="54" hidden="false" customHeight="true" outlineLevel="0" collapsed="false">
      <c r="A3" s="3" t="s">
        <v>202</v>
      </c>
      <c r="B3" s="3"/>
      <c r="C3" s="3"/>
      <c r="D3" s="3"/>
      <c r="E3" s="3"/>
      <c r="F3" s="3"/>
      <c r="G3" s="3"/>
      <c r="H3" s="3"/>
    </row>
    <row r="4" customFormat="false" ht="23.85" hidden="false" customHeight="false" outlineLevel="0" collapsed="false">
      <c r="A4" s="9" t="s">
        <v>203</v>
      </c>
      <c r="B4" s="9" t="s">
        <v>204</v>
      </c>
      <c r="C4" s="9" t="s">
        <v>205</v>
      </c>
      <c r="D4" s="9" t="s">
        <v>206</v>
      </c>
      <c r="E4" s="10" t="s">
        <v>20</v>
      </c>
    </row>
    <row r="5" customFormat="false" ht="22.35" hidden="false" customHeight="false" outlineLevel="0" collapsed="false">
      <c r="A5" s="32" t="s">
        <v>207</v>
      </c>
      <c r="B5" s="33" t="n">
        <f aca="false">'Bill of Materials (Ledger)'!$E$419</f>
        <v>808885</v>
      </c>
      <c r="C5" s="34" t="n">
        <f aca="false">B5</f>
        <v>808885</v>
      </c>
      <c r="D5" s="15" t="s">
        <v>208</v>
      </c>
      <c r="E5" s="16" t="str">
        <f aca="false">IF(AND(LEN(TRIM(A5&amp;""))&gt;0,TRIM(A5&amp;"")&lt;&gt;"—",LEN(TRIM(C5&amp;""))&gt;0,TRIM(C5&amp;"")&lt;&gt;"—",ISNUMBER(C5),LEN(TRIM(D5&amp;""))&gt;0,TRIM(D5&amp;"")&lt;&gt;"—"),"PASS","⚠ FAIL — "&amp;"a required cell is empty/placeholder or wrong type")</f>
        <v>PASS</v>
      </c>
    </row>
    <row r="6" customFormat="false" ht="53.7" hidden="false" customHeight="false" outlineLevel="0" collapsed="false">
      <c r="A6" s="35" t="s">
        <v>209</v>
      </c>
      <c r="B6" s="33" t="n">
        <f aca="false">SUM(F14:F20)</f>
        <v>114585.11</v>
      </c>
      <c r="C6" s="34" t="n">
        <f aca="false">C5+B6</f>
        <v>923470.11</v>
      </c>
      <c r="D6" s="15" t="s">
        <v>210</v>
      </c>
      <c r="E6" s="16" t="str">
        <f aca="false">IF(AND(LEN(TRIM(A6&amp;""))&gt;0,TRIM(A6&amp;"")&lt;&gt;"—",LEN(TRIM(C6&amp;""))&gt;0,TRIM(C6&amp;"")&lt;&gt;"—",ISNUMBER(C6),LEN(TRIM(D6&amp;""))&gt;0,TRIM(D6&amp;"")&lt;&gt;"—"),"PASS","⚠ FAIL — "&amp;"a required cell is empty/placeholder or wrong type")</f>
        <v>PASS</v>
      </c>
    </row>
    <row r="7" customFormat="false" ht="15" hidden="false" customHeight="false" outlineLevel="0" collapsed="false">
      <c r="A7" s="32" t="s">
        <v>211</v>
      </c>
      <c r="B7" s="11"/>
      <c r="C7" s="34" t="n">
        <f aca="false">C6</f>
        <v>923470.11</v>
      </c>
      <c r="D7" s="15" t="s">
        <v>212</v>
      </c>
      <c r="E7" s="16" t="str">
        <f aca="false">IF(AND(LEN(TRIM(A7&amp;""))&gt;0,TRIM(A7&amp;"")&lt;&gt;"—",LEN(TRIM(C7&amp;""))&gt;0,TRIM(C7&amp;"")&lt;&gt;"—",ISNUMBER(C7),LEN(TRIM(D7&amp;""))&gt;0,TRIM(D7&amp;"")&lt;&gt;"—"),"PASS","⚠ FAIL — "&amp;"a required cell is empty/placeholder or wrong type")</f>
        <v>PASS</v>
      </c>
    </row>
    <row r="8" customFormat="false" ht="15" hidden="false" customHeight="false" outlineLevel="0" collapsed="false">
      <c r="A8" s="32" t="s">
        <v>213</v>
      </c>
      <c r="B8" s="11"/>
      <c r="C8" s="34" t="n">
        <f aca="false">C7</f>
        <v>923470.11</v>
      </c>
      <c r="D8" s="15" t="s">
        <v>214</v>
      </c>
      <c r="E8" s="16" t="str">
        <f aca="false">IF(AND(LEN(TRIM(A8&amp;""))&gt;0,TRIM(A8&amp;"")&lt;&gt;"—",LEN(TRIM(C8&amp;""))&gt;0,TRIM(C8&amp;"")&lt;&gt;"—",ISNUMBER(C8),LEN(TRIM(D8&amp;""))&gt;0,TRIM(D8&amp;"")&lt;&gt;"—"),"PASS","⚠ FAIL — "&amp;"a required cell is empty/placeholder or wrong type")</f>
        <v>PASS</v>
      </c>
    </row>
    <row r="9" customFormat="false" ht="53.7" hidden="false" customHeight="false" outlineLevel="0" collapsed="false">
      <c r="A9" s="35" t="s">
        <v>215</v>
      </c>
      <c r="B9" s="33" t="n">
        <f aca="false">SUM(H14:H20)</f>
        <v>311310.7</v>
      </c>
      <c r="C9" s="34" t="n">
        <f aca="false">C8+B9</f>
        <v>1234780.81</v>
      </c>
      <c r="D9" s="15" t="s">
        <v>216</v>
      </c>
      <c r="E9" s="16" t="str">
        <f aca="false">IF(AND(LEN(TRIM(A9&amp;""))&gt;0,TRIM(A9&amp;"")&lt;&gt;"—",LEN(TRIM(C9&amp;""))&gt;0,TRIM(C9&amp;"")&lt;&gt;"—",ISNUMBER(C9),LEN(TRIM(D9&amp;""))&gt;0,TRIM(D9&amp;"")&lt;&gt;"—"),"PASS","⚠ FAIL — "&amp;"a required cell is empty/placeholder or wrong type")</f>
        <v>PASS</v>
      </c>
    </row>
    <row r="10" customFormat="false" ht="15" hidden="false" customHeight="false" outlineLevel="0" collapsed="false">
      <c r="A10" s="32" t="s">
        <v>217</v>
      </c>
      <c r="B10" s="11"/>
      <c r="C10" s="34" t="n">
        <f aca="false">C9</f>
        <v>1234780.81</v>
      </c>
      <c r="D10" s="15" t="s">
        <v>218</v>
      </c>
      <c r="E10" s="16" t="str">
        <f aca="false">IF(AND(LEN(TRIM(A10&amp;""))&gt;0,TRIM(A10&amp;"")&lt;&gt;"—",LEN(TRIM(C10&amp;""))&gt;0,TRIM(C10&amp;"")&lt;&gt;"—",ISNUMBER(C10),LEN(TRIM(D10&amp;""))&gt;0,TRIM(D10&amp;"")&lt;&gt;"—"),"PASS","⚠ FAIL — "&amp;"a required cell is empty/placeholder or wrong type")</f>
        <v>PASS</v>
      </c>
    </row>
    <row r="12" customFormat="false" ht="15" hidden="false" customHeight="false" outlineLevel="0" collapsed="false">
      <c r="A12" s="8" t="s">
        <v>219</v>
      </c>
      <c r="B12" s="8"/>
      <c r="C12" s="8"/>
      <c r="D12" s="8"/>
      <c r="E12" s="8"/>
      <c r="F12" s="8"/>
      <c r="G12" s="8"/>
      <c r="H12" s="8"/>
    </row>
    <row r="13" customFormat="false" ht="23.85" hidden="false" customHeight="false" outlineLevel="0" collapsed="false">
      <c r="A13" s="9" t="s">
        <v>220</v>
      </c>
      <c r="B13" s="9" t="s">
        <v>221</v>
      </c>
      <c r="C13" s="9" t="s">
        <v>222</v>
      </c>
      <c r="D13" s="9" t="s">
        <v>223</v>
      </c>
      <c r="E13" s="9" t="s">
        <v>224</v>
      </c>
      <c r="F13" s="9" t="s">
        <v>225</v>
      </c>
      <c r="G13" s="9" t="s">
        <v>226</v>
      </c>
      <c r="H13" s="9" t="s">
        <v>227</v>
      </c>
      <c r="I13" s="10" t="s">
        <v>20</v>
      </c>
    </row>
    <row r="14" customFormat="false" ht="22.35" hidden="false" customHeight="false" outlineLevel="0" collapsed="false">
      <c r="A14" s="11" t="s">
        <v>228</v>
      </c>
      <c r="B14" s="36" t="n">
        <v>111788</v>
      </c>
      <c r="C14" s="11" t="s">
        <v>229</v>
      </c>
      <c r="D14" s="15" t="s">
        <v>230</v>
      </c>
      <c r="E14" s="37" t="n">
        <v>0.1</v>
      </c>
      <c r="F14" s="34" t="n">
        <f aca="false">B14*E14</f>
        <v>11178.8</v>
      </c>
      <c r="G14" s="37" t="n">
        <v>0.45</v>
      </c>
      <c r="H14" s="34" t="n">
        <f aca="false">B14*G14</f>
        <v>50304.6</v>
      </c>
      <c r="I14" s="16" t="str">
        <f aca="false">IF(AND(LEN(TRIM(A14&amp;""))&gt;0,TRIM(A14&amp;"")&lt;&gt;"—",LEN(TRIM(B14&amp;""))&gt;0,TRIM(B14&amp;"")&lt;&gt;"—",ISNUMBER(B14),LEN(TRIM(D14&amp;""))&gt;0,TRIM(D14&amp;"")&lt;&gt;"—",LEN(TRIM(E14&amp;""))&gt;0,TRIM(E14&amp;"")&lt;&gt;"—",ISNUMBER(E14),LEN(TRIM(F14&amp;""))&gt;0,TRIM(F14&amp;"")&lt;&gt;"—",LEN(TRIM(G14&amp;""))&gt;0,TRIM(G14&amp;"")&lt;&gt;"—",ISNUMBER(G14),LEN(TRIM(H14&amp;""))&gt;0,TRIM(H14&amp;"")&lt;&gt;"—"),"PASS","⚠ FAIL — "&amp;"a required cell is empty/placeholder or wrong type")</f>
        <v>PASS</v>
      </c>
    </row>
    <row r="15" customFormat="false" ht="22.35" hidden="false" customHeight="false" outlineLevel="0" collapsed="false">
      <c r="A15" s="11" t="s">
        <v>231</v>
      </c>
      <c r="B15" s="36" t="n">
        <v>64182</v>
      </c>
      <c r="C15" s="11" t="s">
        <v>232</v>
      </c>
      <c r="D15" s="15" t="s">
        <v>233</v>
      </c>
      <c r="E15" s="37" t="n">
        <v>0.08</v>
      </c>
      <c r="F15" s="34" t="n">
        <f aca="false">B15*E15</f>
        <v>5134.56</v>
      </c>
      <c r="G15" s="37" t="n">
        <v>0.6</v>
      </c>
      <c r="H15" s="34" t="n">
        <f aca="false">B15*G15</f>
        <v>38509.2</v>
      </c>
      <c r="I15" s="16" t="str">
        <f aca="false">IF(AND(LEN(TRIM(A15&amp;""))&gt;0,TRIM(A15&amp;"")&lt;&gt;"—",LEN(TRIM(B15&amp;""))&gt;0,TRIM(B15&amp;"")&lt;&gt;"—",ISNUMBER(B15),LEN(TRIM(D15&amp;""))&gt;0,TRIM(D15&amp;"")&lt;&gt;"—",LEN(TRIM(E15&amp;""))&gt;0,TRIM(E15&amp;"")&lt;&gt;"—",ISNUMBER(E15),LEN(TRIM(F15&amp;""))&gt;0,TRIM(F15&amp;"")&lt;&gt;"—",LEN(TRIM(G15&amp;""))&gt;0,TRIM(G15&amp;"")&lt;&gt;"—",ISNUMBER(G15),LEN(TRIM(H15&amp;""))&gt;0,TRIM(H15&amp;"")&lt;&gt;"—"),"PASS","⚠ FAIL — "&amp;"a required cell is empty/placeholder or wrong type")</f>
        <v>PASS</v>
      </c>
    </row>
    <row r="16" customFormat="false" ht="22.35" hidden="false" customHeight="false" outlineLevel="0" collapsed="false">
      <c r="A16" s="11" t="s">
        <v>234</v>
      </c>
      <c r="B16" s="36" t="n">
        <v>41345</v>
      </c>
      <c r="C16" s="11" t="s">
        <v>235</v>
      </c>
      <c r="D16" s="15" t="s">
        <v>236</v>
      </c>
      <c r="E16" s="37" t="n">
        <v>0.15</v>
      </c>
      <c r="F16" s="34" t="n">
        <f aca="false">B16*E16</f>
        <v>6201.75</v>
      </c>
      <c r="G16" s="37" t="n">
        <v>0.3</v>
      </c>
      <c r="H16" s="34" t="n">
        <f aca="false">B16*G16</f>
        <v>12403.5</v>
      </c>
      <c r="I16" s="16" t="str">
        <f aca="false">IF(AND(LEN(TRIM(A16&amp;""))&gt;0,TRIM(A16&amp;"")&lt;&gt;"—",LEN(TRIM(B16&amp;""))&gt;0,TRIM(B16&amp;"")&lt;&gt;"—",ISNUMBER(B16),LEN(TRIM(D16&amp;""))&gt;0,TRIM(D16&amp;"")&lt;&gt;"—",LEN(TRIM(E16&amp;""))&gt;0,TRIM(E16&amp;"")&lt;&gt;"—",ISNUMBER(E16),LEN(TRIM(F16&amp;""))&gt;0,TRIM(F16&amp;"")&lt;&gt;"—",LEN(TRIM(G16&amp;""))&gt;0,TRIM(G16&amp;"")&lt;&gt;"—",ISNUMBER(G16),LEN(TRIM(H16&amp;""))&gt;0,TRIM(H16&amp;"")&lt;&gt;"—"),"PASS","⚠ FAIL — "&amp;"a required cell is empty/placeholder or wrong type")</f>
        <v>PASS</v>
      </c>
    </row>
    <row r="17" customFormat="false" ht="22.35" hidden="false" customHeight="false" outlineLevel="0" collapsed="false">
      <c r="A17" s="11" t="s">
        <v>237</v>
      </c>
      <c r="B17" s="36" t="n">
        <v>333710</v>
      </c>
      <c r="C17" s="11" t="s">
        <v>238</v>
      </c>
      <c r="D17" s="15" t="s">
        <v>239</v>
      </c>
      <c r="E17" s="37" t="n">
        <v>0.2</v>
      </c>
      <c r="F17" s="34" t="n">
        <f aca="false">B17*E17</f>
        <v>66742</v>
      </c>
      <c r="G17" s="37" t="n">
        <v>0.35</v>
      </c>
      <c r="H17" s="34" t="n">
        <f aca="false">B17*G17</f>
        <v>116798.5</v>
      </c>
      <c r="I17" s="16" t="str">
        <f aca="false">IF(AND(LEN(TRIM(A17&amp;""))&gt;0,TRIM(A17&amp;"")&lt;&gt;"—",LEN(TRIM(B17&amp;""))&gt;0,TRIM(B17&amp;"")&lt;&gt;"—",ISNUMBER(B17),LEN(TRIM(D17&amp;""))&gt;0,TRIM(D17&amp;"")&lt;&gt;"—",LEN(TRIM(E17&amp;""))&gt;0,TRIM(E17&amp;"")&lt;&gt;"—",ISNUMBER(E17),LEN(TRIM(F17&amp;""))&gt;0,TRIM(F17&amp;"")&lt;&gt;"—",LEN(TRIM(G17&amp;""))&gt;0,TRIM(G17&amp;"")&lt;&gt;"—",ISNUMBER(G17),LEN(TRIM(H17&amp;""))&gt;0,TRIM(H17&amp;"")&lt;&gt;"—"),"PASS","⚠ FAIL — "&amp;"a required cell is empty/placeholder or wrong type")</f>
        <v>PASS</v>
      </c>
    </row>
    <row r="18" customFormat="false" ht="22.35" hidden="false" customHeight="false" outlineLevel="0" collapsed="false">
      <c r="A18" s="11" t="s">
        <v>240</v>
      </c>
      <c r="B18" s="36" t="n">
        <v>141049</v>
      </c>
      <c r="C18" s="11" t="s">
        <v>241</v>
      </c>
      <c r="D18" s="15" t="s">
        <v>242</v>
      </c>
      <c r="E18" s="37" t="n">
        <v>0.1</v>
      </c>
      <c r="F18" s="34" t="n">
        <f aca="false">B18*E18</f>
        <v>14104.9</v>
      </c>
      <c r="G18" s="37" t="n">
        <v>0.4</v>
      </c>
      <c r="H18" s="34" t="n">
        <f aca="false">B18*G18</f>
        <v>56419.6</v>
      </c>
      <c r="I18" s="16" t="str">
        <f aca="false">IF(AND(LEN(TRIM(A18&amp;""))&gt;0,TRIM(A18&amp;"")&lt;&gt;"—",LEN(TRIM(B18&amp;""))&gt;0,TRIM(B18&amp;"")&lt;&gt;"—",ISNUMBER(B18),LEN(TRIM(D18&amp;""))&gt;0,TRIM(D18&amp;"")&lt;&gt;"—",LEN(TRIM(E18&amp;""))&gt;0,TRIM(E18&amp;"")&lt;&gt;"—",ISNUMBER(E18),LEN(TRIM(F18&amp;""))&gt;0,TRIM(F18&amp;"")&lt;&gt;"—",LEN(TRIM(G18&amp;""))&gt;0,TRIM(G18&amp;"")&lt;&gt;"—",ISNUMBER(G18),LEN(TRIM(H18&amp;""))&gt;0,TRIM(H18&amp;"")&lt;&gt;"—"),"PASS","⚠ FAIL — "&amp;"a required cell is empty/placeholder or wrong type")</f>
        <v>PASS</v>
      </c>
    </row>
    <row r="19" customFormat="false" ht="22.35" hidden="false" customHeight="false" outlineLevel="0" collapsed="false">
      <c r="A19" s="11" t="s">
        <v>243</v>
      </c>
      <c r="B19" s="36" t="n">
        <v>9160</v>
      </c>
      <c r="C19" s="11" t="s">
        <v>244</v>
      </c>
      <c r="D19" s="15" t="s">
        <v>245</v>
      </c>
      <c r="E19" s="37" t="n">
        <v>0.05</v>
      </c>
      <c r="F19" s="34" t="n">
        <f aca="false">B19*E19</f>
        <v>458</v>
      </c>
      <c r="G19" s="37" t="n">
        <v>0.5</v>
      </c>
      <c r="H19" s="34" t="n">
        <f aca="false">B19*G19</f>
        <v>4580</v>
      </c>
      <c r="I19" s="16" t="str">
        <f aca="false">IF(AND(LEN(TRIM(A19&amp;""))&gt;0,TRIM(A19&amp;"")&lt;&gt;"—",LEN(TRIM(B19&amp;""))&gt;0,TRIM(B19&amp;"")&lt;&gt;"—",ISNUMBER(B19),LEN(TRIM(D19&amp;""))&gt;0,TRIM(D19&amp;"")&lt;&gt;"—",LEN(TRIM(E19&amp;""))&gt;0,TRIM(E19&amp;"")&lt;&gt;"—",ISNUMBER(E19),LEN(TRIM(F19&amp;""))&gt;0,TRIM(F19&amp;"")&lt;&gt;"—",LEN(TRIM(G19&amp;""))&gt;0,TRIM(G19&amp;"")&lt;&gt;"—",ISNUMBER(G19),LEN(TRIM(H19&amp;""))&gt;0,TRIM(H19&amp;"")&lt;&gt;"—"),"PASS","⚠ FAIL — "&amp;"a required cell is empty/placeholder or wrong type")</f>
        <v>PASS</v>
      </c>
    </row>
    <row r="20" customFormat="false" ht="22.35" hidden="false" customHeight="false" outlineLevel="0" collapsed="false">
      <c r="A20" s="11" t="s">
        <v>52</v>
      </c>
      <c r="B20" s="36" t="n">
        <v>107651</v>
      </c>
      <c r="C20" s="11" t="s">
        <v>246</v>
      </c>
      <c r="D20" s="15" t="s">
        <v>247</v>
      </c>
      <c r="E20" s="37" t="n">
        <v>0.1</v>
      </c>
      <c r="F20" s="34" t="n">
        <f aca="false">B20*E20</f>
        <v>10765.1</v>
      </c>
      <c r="G20" s="37" t="n">
        <v>0.3</v>
      </c>
      <c r="H20" s="34" t="n">
        <f aca="false">B20*G20</f>
        <v>32295.3</v>
      </c>
      <c r="I20" s="16" t="str">
        <f aca="false">IF(AND(LEN(TRIM(A20&amp;""))&gt;0,TRIM(A20&amp;"")&lt;&gt;"—",LEN(TRIM(B20&amp;""))&gt;0,TRIM(B20&amp;"")&lt;&gt;"—",ISNUMBER(B20),LEN(TRIM(D20&amp;""))&gt;0,TRIM(D20&amp;"")&lt;&gt;"—",LEN(TRIM(E20&amp;""))&gt;0,TRIM(E20&amp;"")&lt;&gt;"—",ISNUMBER(E20),LEN(TRIM(F20&amp;""))&gt;0,TRIM(F20&amp;"")&lt;&gt;"—",LEN(TRIM(G20&amp;""))&gt;0,TRIM(G20&amp;"")&lt;&gt;"—",ISNUMBER(G20),LEN(TRIM(H20&amp;""))&gt;0,TRIM(H20&amp;"")&lt;&gt;"—"),"PASS","⚠ FAIL — "&amp;"a required cell is empty/placeholder or wrong type")</f>
        <v>PASS</v>
      </c>
    </row>
    <row r="21" customFormat="false" ht="15" hidden="false" customHeight="false" outlineLevel="0" collapsed="false">
      <c r="A21" s="17" t="s">
        <v>248</v>
      </c>
      <c r="B21" s="38" t="n">
        <f aca="false">SUM(B14:B20)</f>
        <v>808885</v>
      </c>
      <c r="F21" s="39" t="n">
        <f aca="false">SUM(F14:F20)</f>
        <v>114585.11</v>
      </c>
      <c r="H21" s="39" t="n">
        <f aca="false">SUM(H14:H20)</f>
        <v>311310.7</v>
      </c>
    </row>
    <row r="23" customFormat="false" ht="22.35" hidden="false" customHeight="true" outlineLevel="0" collapsed="false">
      <c r="A23" s="6" t="s">
        <v>249</v>
      </c>
      <c r="B23" s="6"/>
      <c r="C23" s="6"/>
      <c r="D23" s="6"/>
      <c r="E23" s="6"/>
      <c r="F23" s="6"/>
      <c r="G23" s="6"/>
      <c r="H23" s="6"/>
    </row>
  </sheetData>
  <mergeCells count="5">
    <mergeCell ref="A1:H1"/>
    <mergeCell ref="A2:H2"/>
    <mergeCell ref="A3:H3"/>
    <mergeCell ref="A12:H12"/>
    <mergeCell ref="A23:H23"/>
  </mergeCells>
  <hyperlinks>
    <hyperlink ref="I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F5597"/>
    <pageSetUpPr fitToPage="false"/>
  </sheetPr>
  <dimension ref="A1:O2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0"/>
    <col collapsed="false" customWidth="true" hidden="false" outlineLevel="0" max="2" min="2" style="0" width="18"/>
    <col collapsed="false" customWidth="true" hidden="false" outlineLevel="0" max="5" min="3" style="0" width="16"/>
    <col collapsed="false" customWidth="true" hidden="false" outlineLevel="0" max="6" min="6" style="0" width="12"/>
    <col collapsed="false" customWidth="true" hidden="false" outlineLevel="0" max="7" min="7" style="0" width="14"/>
    <col collapsed="false" customWidth="true" hidden="false" outlineLevel="0" max="8" min="8" style="0" width="16"/>
    <col collapsed="false" customWidth="true" hidden="false" outlineLevel="0" max="9" min="9" style="0" width="13"/>
    <col collapsed="false" customWidth="true" hidden="false" outlineLevel="0" max="13" min="10" style="0" width="16"/>
  </cols>
  <sheetData>
    <row r="1" customFormat="false" ht="25.5" hidden="false" customHeight="true" outlineLevel="0" collapsed="false">
      <c r="A1" s="1" t="s">
        <v>250</v>
      </c>
      <c r="B1" s="1"/>
      <c r="C1" s="1"/>
      <c r="D1" s="1"/>
      <c r="E1" s="1"/>
      <c r="F1" s="1"/>
      <c r="G1" s="1"/>
      <c r="H1" s="1"/>
      <c r="I1" s="24" t="s">
        <v>140</v>
      </c>
    </row>
    <row r="2" customFormat="false" ht="30" hidden="false" customHeight="true" outlineLevel="0" collapsed="false">
      <c r="A2" s="2" t="str">
        <f aca="false">"⬤ TAB QUALITY "&amp;IF(ISNUMBER('Quality &amp; Audit'!$B$33),IF('Quality &amp; Audit'!$B$33=INT('Quality &amp; Audit'!$B$33),TEXT('Quality &amp; Audit'!$B$33,"0"),TEXT('Quality &amp; Audit'!$B$33,"0.0")),"—")&amp;"/10 · "&amp;IF(ISNUMBER('Quality &amp; Audit'!$B$33),IF('Quality &amp; Audit'!$B$33&gt;=8,"PASS","FAIL"),"UNSCORED")&amp;" (target ≥8, live from the Quality &amp; Audit score cell)"&amp;" · formula integrity (cells reference drivers; no orphan literals) + scenario arithmetic (live) — model value cells are live formulas or declared (yellow) inputs 193/223; c…"&amp;" · full audit: Quality &amp; Audit tab"</f>
        <v>⬤ TAB QUALITY 8.7/10 · PASS (target ≥8, live from the Quality &amp; Audit score cell) · formula integrity (cells reference drivers; no orphan literals) + scenario arithmetic (live) — model value cells are live formulas or declared (yellow) inputs 193/223; c… · full audit: Quality &amp; Audit tab</v>
      </c>
      <c r="B2" s="2"/>
      <c r="C2" s="2"/>
      <c r="D2" s="2"/>
      <c r="E2" s="2"/>
      <c r="F2" s="2"/>
      <c r="G2" s="2"/>
      <c r="H2" s="2"/>
    </row>
    <row r="3" customFormat="false" ht="54" hidden="false" customHeight="true" outlineLevel="0" collapsed="false">
      <c r="A3" s="3" t="s">
        <v>251</v>
      </c>
      <c r="B3" s="3"/>
      <c r="C3" s="3"/>
      <c r="D3" s="3"/>
      <c r="E3" s="3"/>
      <c r="F3" s="3"/>
      <c r="G3" s="3"/>
      <c r="H3" s="3"/>
    </row>
    <row r="4" customFormat="false" ht="15" hidden="false" customHeight="false" outlineLevel="0" collapsed="false">
      <c r="A4" s="8" t="s">
        <v>252</v>
      </c>
      <c r="B4" s="8"/>
      <c r="C4" s="8"/>
      <c r="D4" s="8"/>
      <c r="E4" s="8"/>
      <c r="F4" s="8"/>
      <c r="G4" s="8"/>
      <c r="H4" s="8"/>
    </row>
    <row r="5" customFormat="false" ht="15" hidden="false" customHeight="false" outlineLevel="0" collapsed="false">
      <c r="A5" s="40" t="s">
        <v>253</v>
      </c>
      <c r="B5" s="40"/>
      <c r="C5" s="40"/>
      <c r="D5" s="40"/>
      <c r="E5" s="40"/>
      <c r="F5" s="40"/>
      <c r="G5" s="40"/>
      <c r="H5" s="40"/>
    </row>
    <row r="7" customFormat="false" ht="15" hidden="false" customHeight="false" outlineLevel="0" collapsed="false">
      <c r="A7" s="9" t="s">
        <v>254</v>
      </c>
      <c r="B7" s="9" t="s">
        <v>255</v>
      </c>
      <c r="C7" s="9"/>
      <c r="D7" s="9" t="s">
        <v>256</v>
      </c>
      <c r="E7" s="10" t="s">
        <v>20</v>
      </c>
    </row>
    <row r="8" customFormat="false" ht="15" hidden="false" customHeight="false" outlineLevel="0" collapsed="false">
      <c r="A8" s="41" t="s">
        <v>257</v>
      </c>
      <c r="B8" s="18" t="n">
        <f aca="false">'Inputs &amp; Assumptions'!$B$18</f>
        <v>1375105</v>
      </c>
      <c r="D8" s="42" t="s">
        <v>258</v>
      </c>
      <c r="E8" s="16" t="str">
        <f aca="false">IF(AND(LEN(TRIM(A8&amp;""))&gt;0,TRIM(A8&amp;"")&lt;&gt;"—",LEN(TRIM(B8&amp;""))&gt;0,TRIM(B8&amp;"")&lt;&gt;"—",ISNUMBER(B8),LEN(TRIM(D8&amp;""))&gt;0,TRIM(D8&amp;"")&lt;&gt;"—"),"PASS","⚠ FAIL — "&amp;"a required cell is empty/placeholder or wrong type")</f>
        <v>PASS</v>
      </c>
    </row>
    <row r="9" customFormat="false" ht="15" hidden="false" customHeight="false" outlineLevel="0" collapsed="false">
      <c r="A9" s="41" t="s">
        <v>259</v>
      </c>
      <c r="B9" s="18" t="n">
        <f aca="false">B8*(('Inputs &amp; Assumptions'!$B$20/100)*(1+'Inputs &amp; Assumptions'!$B$20/100)^'Inputs &amp; Assumptions'!$B$22)/((1+'Inputs &amp; Assumptions'!$B$20/100)^'Inputs &amp; Assumptions'!$B$22-1)</f>
        <v>161519.317322852</v>
      </c>
      <c r="D9" s="42" t="s">
        <v>260</v>
      </c>
      <c r="E9" s="16" t="str">
        <f aca="false">IF(AND(LEN(TRIM(A9&amp;""))&gt;0,TRIM(A9&amp;"")&lt;&gt;"—",LEN(TRIM(B9&amp;""))&gt;0,TRIM(B9&amp;"")&lt;&gt;"—",ISNUMBER(B9),LEN(TRIM(D9&amp;""))&gt;0,TRIM(D9&amp;"")&lt;&gt;"—"),"PASS","⚠ FAIL — "&amp;"a required cell is empty/placeholder or wrong type")</f>
        <v>PASS</v>
      </c>
    </row>
    <row r="10" customFormat="false" ht="15" hidden="false" customHeight="false" outlineLevel="0" collapsed="false">
      <c r="A10" s="41" t="s">
        <v>261</v>
      </c>
      <c r="B10" s="18" t="n">
        <f aca="false">'Inputs &amp; Assumptions'!$B$10*'Inputs &amp; Assumptions'!$B$12*'Inputs &amp; Assumptions'!$B$11*'Inputs &amp; Assumptions'!$B$9</f>
        <v>41340</v>
      </c>
      <c r="D10" s="42" t="s">
        <v>262</v>
      </c>
      <c r="E10" s="16" t="str">
        <f aca="false">IF(AND(LEN(TRIM(A10&amp;""))&gt;0,TRIM(A10&amp;"")&lt;&gt;"—",LEN(TRIM(B10&amp;""))&gt;0,TRIM(B10&amp;"")&lt;&gt;"—",ISNUMBER(B10),LEN(TRIM(D10&amp;""))&gt;0,TRIM(D10&amp;"")&lt;&gt;"—"),"PASS","⚠ FAIL — "&amp;"a required cell is empty/placeholder or wrong type")</f>
        <v>PASS</v>
      </c>
    </row>
    <row r="11" customFormat="false" ht="15" hidden="false" customHeight="false" outlineLevel="0" collapsed="false">
      <c r="A11" s="41" t="s">
        <v>263</v>
      </c>
      <c r="B11" s="18" t="n">
        <f aca="false">B8*'Inputs &amp; Assumptions'!$B$16/100</f>
        <v>41253.15</v>
      </c>
      <c r="D11" s="42" t="s">
        <v>264</v>
      </c>
      <c r="E11" s="16" t="str">
        <f aca="false">IF(AND(LEN(TRIM(A11&amp;""))&gt;0,TRIM(A11&amp;"")&lt;&gt;"—",LEN(TRIM(B11&amp;""))&gt;0,TRIM(B11&amp;"")&lt;&gt;"—",ISNUMBER(B11),LEN(TRIM(D11&amp;""))&gt;0,TRIM(D11&amp;"")&lt;&gt;"—"),"PASS","⚠ FAIL — "&amp;"a required cell is empty/placeholder or wrong type")</f>
        <v>PASS</v>
      </c>
    </row>
    <row r="12" customFormat="false" ht="15" hidden="false" customHeight="false" outlineLevel="0" collapsed="false">
      <c r="A12" s="41" t="s">
        <v>265</v>
      </c>
      <c r="B12" s="18" t="n">
        <f aca="false">'Inputs &amp; Assumptions'!$B$15+'Inputs &amp; Assumptions'!$B$17</f>
        <v>52502</v>
      </c>
      <c r="D12" s="42" t="s">
        <v>266</v>
      </c>
      <c r="E12" s="16" t="str">
        <f aca="false">IF(AND(LEN(TRIM(A12&amp;""))&gt;0,TRIM(A12&amp;"")&lt;&gt;"—",LEN(TRIM(B12&amp;""))&gt;0,TRIM(B12&amp;"")&lt;&gt;"—",ISNUMBER(B12),LEN(TRIM(D12&amp;""))&gt;0,TRIM(D12&amp;"")&lt;&gt;"—"),"PASS","⚠ FAIL — "&amp;"a required cell is empty/placeholder or wrong type")</f>
        <v>PASS</v>
      </c>
    </row>
    <row r="13" customFormat="false" ht="15" hidden="false" customHeight="false" outlineLevel="0" collapsed="false">
      <c r="A13" s="43" t="s">
        <v>267</v>
      </c>
      <c r="B13" s="44" t="n">
        <f aca="false">B10+B11+B12</f>
        <v>135095.15</v>
      </c>
      <c r="D13" s="42" t="s">
        <v>268</v>
      </c>
    </row>
    <row r="14" customFormat="false" ht="15" hidden="false" customHeight="false" outlineLevel="0" collapsed="false">
      <c r="A14" s="41" t="s">
        <v>269</v>
      </c>
      <c r="B14" s="18" t="n">
        <f aca="false">'Inputs &amp; Assumptions'!$B$13*8760*'Inputs &amp; Assumptions'!$B$14</f>
        <v>197100</v>
      </c>
      <c r="D14" s="42" t="s">
        <v>270</v>
      </c>
      <c r="E14" s="16" t="str">
        <f aca="false">IF(AND(LEN(TRIM(A14&amp;""))&gt;0,TRIM(A14&amp;"")&lt;&gt;"—",LEN(TRIM(B14&amp;""))&gt;0,TRIM(B14&amp;"")&lt;&gt;"—",ISNUMBER(B14),LEN(TRIM(D14&amp;""))&gt;0,TRIM(D14&amp;"")&lt;&gt;"—"),"PASS","⚠ FAIL — "&amp;"a required cell is empty/placeholder or wrong type")</f>
        <v>PASS</v>
      </c>
    </row>
    <row r="15" customFormat="false" ht="15" hidden="false" customHeight="false" outlineLevel="0" collapsed="false">
      <c r="A15" s="43" t="s">
        <v>271</v>
      </c>
      <c r="B15" s="45" t="n">
        <f aca="false">(B9+B13)/B14</f>
        <v>1.50489328930924</v>
      </c>
      <c r="D15" s="42" t="s">
        <v>272</v>
      </c>
      <c r="E15" s="16" t="str">
        <f aca="false">IF(AND(LEN(TRIM(A15&amp;""))&gt;0,TRIM(A15&amp;"")&lt;&gt;"—",LEN(TRIM(B15&amp;""))&gt;0,TRIM(B15&amp;"")&lt;&gt;"—",ISNUMBER(B15),LEN(TRIM(D15&amp;""))&gt;0,TRIM(D15&amp;"")&lt;&gt;"—"),"PASS","⚠ FAIL — "&amp;"a required cell is empty/placeholder or wrong type")</f>
        <v>PASS</v>
      </c>
    </row>
    <row r="18" customFormat="false" ht="24" hidden="false" customHeight="true" outlineLevel="0" collapsed="false">
      <c r="A18" s="1" t="s">
        <v>273</v>
      </c>
      <c r="B18" s="1"/>
      <c r="C18" s="1"/>
      <c r="D18" s="1"/>
      <c r="E18" s="1"/>
      <c r="F18" s="1"/>
      <c r="G18" s="1"/>
      <c r="H18" s="1"/>
    </row>
    <row r="20" customFormat="false" ht="15" hidden="false" customHeight="false" outlineLevel="0" collapsed="false">
      <c r="A20" s="25" t="s">
        <v>274</v>
      </c>
      <c r="B20" s="25"/>
      <c r="C20" s="25"/>
      <c r="D20" s="25"/>
      <c r="E20" s="25"/>
      <c r="F20" s="25"/>
      <c r="G20" s="25"/>
      <c r="H20" s="25"/>
    </row>
    <row r="21" customFormat="false" ht="15" hidden="false" customHeight="true" outlineLevel="0" collapsed="false">
      <c r="A21" s="46" t="s">
        <v>275</v>
      </c>
      <c r="B21" s="46"/>
      <c r="C21" s="46"/>
      <c r="D21" s="46"/>
      <c r="E21" s="46"/>
      <c r="F21" s="46"/>
      <c r="G21" s="46"/>
      <c r="H21" s="46"/>
    </row>
    <row r="22" customFormat="false" ht="15" hidden="false" customHeight="false" outlineLevel="0" collapsed="false">
      <c r="A22" s="46"/>
      <c r="B22" s="46"/>
      <c r="C22" s="46"/>
      <c r="D22" s="46"/>
      <c r="E22" s="46"/>
      <c r="F22" s="46"/>
      <c r="G22" s="46"/>
      <c r="H22" s="46"/>
    </row>
    <row r="23" customFormat="false" ht="15" hidden="false" customHeight="false" outlineLevel="0" collapsed="false">
      <c r="A23" s="10" t="s">
        <v>276</v>
      </c>
    </row>
    <row r="25" customFormat="false" ht="15" hidden="false" customHeight="false" outlineLevel="0" collapsed="false">
      <c r="A25" s="9" t="s">
        <v>277</v>
      </c>
      <c r="B25" s="9" t="s">
        <v>160</v>
      </c>
      <c r="C25" s="9"/>
      <c r="D25" s="9"/>
      <c r="E25" s="9"/>
      <c r="F25" s="9"/>
      <c r="G25" s="9"/>
      <c r="H25" s="9"/>
      <c r="I25" s="10" t="s">
        <v>20</v>
      </c>
    </row>
    <row r="26" customFormat="false" ht="15" hidden="false" customHeight="false" outlineLevel="0" collapsed="false">
      <c r="A26" s="17" t="s">
        <v>278</v>
      </c>
      <c r="B26" s="47" t="n">
        <v>360000</v>
      </c>
      <c r="I26" s="16" t="str">
        <f aca="false">IF(AND(LEN(TRIM(A26&amp;""))&gt;0,TRIM(A26&amp;"")&lt;&gt;"—",LEN(TRIM(B26&amp;""))&gt;0,TRIM(B26&amp;"")&lt;&gt;"—"),"PASS","⚠ FAIL — "&amp;"a required cell is empty/placeholder or wrong type")</f>
        <v>PASS</v>
      </c>
    </row>
    <row r="27" customFormat="false" ht="15" hidden="false" customHeight="false" outlineLevel="0" collapsed="false">
      <c r="A27" s="17" t="s">
        <v>279</v>
      </c>
      <c r="B27" s="48" t="n">
        <v>621316</v>
      </c>
      <c r="I27" s="16" t="str">
        <f aca="false">IF(AND(LEN(TRIM(A27&amp;""))&gt;0,TRIM(A27&amp;"")&lt;&gt;"—",LEN(TRIM(B27&amp;""))&gt;0,TRIM(B27&amp;"")&lt;&gt;"—"),"PASS","⚠ FAIL — "&amp;"a required cell is empty/placeholder or wrong type")</f>
        <v>PASS</v>
      </c>
    </row>
    <row r="28" customFormat="false" ht="15" hidden="false" customHeight="false" outlineLevel="0" collapsed="false">
      <c r="A28" s="17" t="s">
        <v>280</v>
      </c>
      <c r="B28" s="49" t="n">
        <v>1.725878</v>
      </c>
      <c r="I28" s="16" t="str">
        <f aca="false">IF(AND(LEN(TRIM(A28&amp;""))&gt;0,TRIM(A28&amp;"")&lt;&gt;"—",LEN(TRIM(B28&amp;""))&gt;0,TRIM(B28&amp;"")&lt;&gt;"—"),"PASS","⚠ FAIL — "&amp;"a required cell is empty/placeholder or wrong type")</f>
        <v>PASS</v>
      </c>
    </row>
    <row r="29" customFormat="false" ht="15" hidden="false" customHeight="false" outlineLevel="0" collapsed="false">
      <c r="A29" s="17" t="s">
        <v>281</v>
      </c>
      <c r="B29" s="47" t="n">
        <v>1</v>
      </c>
      <c r="I29" s="16" t="str">
        <f aca="false">IF(AND(LEN(TRIM(A29&amp;""))&gt;0,TRIM(A29&amp;"")&lt;&gt;"—",LEN(TRIM(B29&amp;""))&gt;0,TRIM(B29&amp;"")&lt;&gt;"—"),"PASS","⚠ FAIL — "&amp;"a required cell is empty/placeholder or wrong type")</f>
        <v>PASS</v>
      </c>
    </row>
    <row r="30" customFormat="false" ht="15" hidden="false" customHeight="false" outlineLevel="0" collapsed="false">
      <c r="A30" s="17" t="s">
        <v>282</v>
      </c>
      <c r="B30" s="50" t="s">
        <v>283</v>
      </c>
      <c r="I30" s="16" t="str">
        <f aca="false">IF(AND(LEN(TRIM(A30&amp;""))&gt;0,TRIM(A30&amp;"")&lt;&gt;"—",LEN(TRIM(B30&amp;""))&gt;0,TRIM(B30&amp;"")&lt;&gt;"—"),"PASS","⚠ FAIL — "&amp;"a required cell is empty/placeholder or wrong type")</f>
        <v>PASS</v>
      </c>
    </row>
    <row r="31" customFormat="false" ht="15" hidden="false" customHeight="false" outlineLevel="0" collapsed="false">
      <c r="A31" s="17" t="s">
        <v>284</v>
      </c>
      <c r="B31" s="50" t="s">
        <v>283</v>
      </c>
      <c r="I31" s="16" t="str">
        <f aca="false">IF(AND(LEN(TRIM(A31&amp;""))&gt;0,TRIM(A31&amp;"")&lt;&gt;"—",LEN(TRIM(B31&amp;""))&gt;0,TRIM(B31&amp;"")&lt;&gt;"—"),"PASS","⚠ FAIL — "&amp;"a required cell is empty/placeholder or wrong type")</f>
        <v>PASS</v>
      </c>
    </row>
    <row r="33" customFormat="false" ht="15" hidden="false" customHeight="false" outlineLevel="0" collapsed="false">
      <c r="A33" s="8" t="s">
        <v>285</v>
      </c>
      <c r="B33" s="8"/>
      <c r="C33" s="8"/>
      <c r="D33" s="8"/>
      <c r="E33" s="8"/>
      <c r="F33" s="8"/>
      <c r="G33" s="8"/>
      <c r="H33" s="8"/>
    </row>
    <row r="34" customFormat="false" ht="15" hidden="false" customHeight="false" outlineLevel="0" collapsed="false">
      <c r="A34" s="9" t="s">
        <v>286</v>
      </c>
      <c r="B34" s="9" t="s">
        <v>287</v>
      </c>
      <c r="C34" s="9" t="s">
        <v>288</v>
      </c>
      <c r="D34" s="9"/>
      <c r="E34" s="9"/>
      <c r="F34" s="9"/>
      <c r="G34" s="9"/>
      <c r="H34" s="9"/>
      <c r="I34" s="10" t="s">
        <v>20</v>
      </c>
    </row>
    <row r="35" customFormat="false" ht="15" hidden="false" customHeight="false" outlineLevel="0" collapsed="false">
      <c r="A35" s="51" t="n">
        <v>90000</v>
      </c>
      <c r="B35" s="38" t="n">
        <v>252333</v>
      </c>
      <c r="C35" s="52" t="n">
        <v>2.80369708263701</v>
      </c>
      <c r="I35" s="16" t="str">
        <f aca="false">IF(AND(LEN(TRIM(A35&amp;""))&gt;0,TRIM(A35&amp;"")&lt;&gt;"—",ISNUMBER(A35),LEN(TRIM(B35&amp;""))&gt;0,TRIM(B35&amp;"")&lt;&gt;"—",ISNUMBER(B35)),"PASS","⚠ FAIL — "&amp;"a required cell is empty/placeholder or wrong type")</f>
        <v>PASS</v>
      </c>
    </row>
    <row r="36" customFormat="false" ht="15" hidden="false" customHeight="false" outlineLevel="0" collapsed="false">
      <c r="A36" s="51" t="n">
        <v>113392.894490539</v>
      </c>
      <c r="B36" s="38" t="n">
        <v>293222</v>
      </c>
      <c r="C36" s="52" t="n">
        <v>2.58589522122577</v>
      </c>
      <c r="I36" s="16" t="str">
        <f aca="false">IF(AND(LEN(TRIM(A36&amp;""))&gt;0,TRIM(A36&amp;"")&lt;&gt;"—",ISNUMBER(A36),LEN(TRIM(B36&amp;""))&gt;0,TRIM(B36&amp;"")&lt;&gt;"—",ISNUMBER(B36)),"PASS","⚠ FAIL — "&amp;"a required cell is empty/placeholder or wrong type")</f>
        <v>PASS</v>
      </c>
    </row>
    <row r="37" customFormat="false" ht="15" hidden="false" customHeight="false" outlineLevel="0" collapsed="false">
      <c r="A37" s="51" t="n">
        <v>142866.094677138</v>
      </c>
      <c r="B37" s="38" t="n">
        <v>340737</v>
      </c>
      <c r="C37" s="52" t="n">
        <v>2.38501303745303</v>
      </c>
      <c r="I37" s="16" t="str">
        <f aca="false">IF(AND(LEN(TRIM(A37&amp;""))&gt;0,TRIM(A37&amp;"")&lt;&gt;"—",ISNUMBER(A37),LEN(TRIM(B37&amp;""))&gt;0,TRIM(B37&amp;"")&lt;&gt;"—",ISNUMBER(B37)),"PASS","⚠ FAIL — "&amp;"a required cell is empty/placeholder or wrong type")</f>
        <v>PASS</v>
      </c>
    </row>
    <row r="38" customFormat="false" ht="15" hidden="false" customHeight="false" outlineLevel="0" collapsed="false">
      <c r="A38" s="51" t="n">
        <v>180000</v>
      </c>
      <c r="B38" s="38" t="n">
        <v>395953</v>
      </c>
      <c r="C38" s="52" t="n">
        <v>2.19973614635651</v>
      </c>
      <c r="I38" s="16" t="str">
        <f aca="false">IF(AND(LEN(TRIM(A38&amp;""))&gt;0,TRIM(A38&amp;"")&lt;&gt;"—",ISNUMBER(A38),LEN(TRIM(B38&amp;""))&gt;0,TRIM(B38&amp;"")&lt;&gt;"—",ISNUMBER(B38)),"PASS","⚠ FAIL — "&amp;"a required cell is empty/placeholder or wrong type")</f>
        <v>PASS</v>
      </c>
    </row>
    <row r="39" customFormat="false" ht="15" hidden="false" customHeight="false" outlineLevel="0" collapsed="false">
      <c r="A39" s="51" t="n">
        <v>226785.788981077</v>
      </c>
      <c r="B39" s="38" t="n">
        <v>460115</v>
      </c>
      <c r="C39" s="52" t="n">
        <v>2.02885226940094</v>
      </c>
      <c r="I39" s="16" t="str">
        <f aca="false">IF(AND(LEN(TRIM(A39&amp;""))&gt;0,TRIM(A39&amp;"")&lt;&gt;"—",ISNUMBER(A39),LEN(TRIM(B39&amp;""))&gt;0,TRIM(B39&amp;"")&lt;&gt;"—",ISNUMBER(B39)),"PASS","⚠ FAIL — "&amp;"a required cell is empty/placeholder or wrong type")</f>
        <v>PASS</v>
      </c>
    </row>
    <row r="40" customFormat="false" ht="15" hidden="false" customHeight="false" outlineLevel="0" collapsed="false">
      <c r="A40" s="51" t="n">
        <v>285732.189354276</v>
      </c>
      <c r="B40" s="38" t="n">
        <v>534674</v>
      </c>
      <c r="C40" s="52" t="n">
        <v>1.87124330246207</v>
      </c>
      <c r="I40" s="16" t="str">
        <f aca="false">IF(AND(LEN(TRIM(A40&amp;""))&gt;0,TRIM(A40&amp;"")&lt;&gt;"—",ISNUMBER(A40),LEN(TRIM(B40&amp;""))&gt;0,TRIM(B40&amp;"")&lt;&gt;"—",ISNUMBER(B40)),"PASS","⚠ FAIL — "&amp;"a required cell is empty/placeholder or wrong type")</f>
        <v>PASS</v>
      </c>
    </row>
    <row r="41" customFormat="false" ht="15" hidden="false" customHeight="false" outlineLevel="0" collapsed="false">
      <c r="A41" s="51" t="n">
        <v>360000</v>
      </c>
      <c r="B41" s="38" t="n">
        <v>621316</v>
      </c>
      <c r="C41" s="52" t="n">
        <v>1.725878</v>
      </c>
      <c r="I41" s="16" t="str">
        <f aca="false">IF(AND(LEN(TRIM(A41&amp;""))&gt;0,TRIM(A41&amp;"")&lt;&gt;"—",ISNUMBER(A41),LEN(TRIM(B41&amp;""))&gt;0,TRIM(B41&amp;"")&lt;&gt;"—",ISNUMBER(B41)),"PASS","⚠ FAIL — "&amp;"a required cell is empty/placeholder or wrong type")</f>
        <v>PASS</v>
      </c>
    </row>
    <row r="42" customFormat="false" ht="15" hidden="false" customHeight="false" outlineLevel="0" collapsed="false">
      <c r="A42" s="51" t="n">
        <v>453571.577962154</v>
      </c>
      <c r="B42" s="38" t="n">
        <v>721998</v>
      </c>
      <c r="C42" s="52" t="n">
        <v>1.59180522755371</v>
      </c>
      <c r="I42" s="16" t="str">
        <f aca="false">IF(AND(LEN(TRIM(A42&amp;""))&gt;0,TRIM(A42&amp;"")&lt;&gt;"—",ISNUMBER(A42),LEN(TRIM(B42&amp;""))&gt;0,TRIM(B42&amp;"")&lt;&gt;"—",ISNUMBER(B42)),"PASS","⚠ FAIL — "&amp;"a required cell is empty/placeholder or wrong type")</f>
        <v>PASS</v>
      </c>
    </row>
    <row r="43" customFormat="false" ht="15" hidden="false" customHeight="false" outlineLevel="0" collapsed="false">
      <c r="A43" s="51" t="n">
        <v>571464.378708552</v>
      </c>
      <c r="B43" s="38" t="n">
        <v>838994</v>
      </c>
      <c r="C43" s="52" t="n">
        <v>1.46814773840754</v>
      </c>
      <c r="I43" s="16" t="str">
        <f aca="false">IF(AND(LEN(TRIM(A43&amp;""))&gt;0,TRIM(A43&amp;"")&lt;&gt;"—",ISNUMBER(A43),LEN(TRIM(B43&amp;""))&gt;0,TRIM(B43&amp;"")&lt;&gt;"—",ISNUMBER(B43)),"PASS","⚠ FAIL — "&amp;"a required cell is empty/placeholder or wrong type")</f>
        <v>PASS</v>
      </c>
    </row>
    <row r="44" customFormat="false" ht="15" hidden="false" customHeight="false" outlineLevel="0" collapsed="false">
      <c r="A44" s="51" t="n">
        <v>720000</v>
      </c>
      <c r="B44" s="38" t="n">
        <v>974949</v>
      </c>
      <c r="C44" s="52" t="n">
        <v>1.35409643370985</v>
      </c>
      <c r="I44" s="16" t="str">
        <f aca="false">IF(AND(LEN(TRIM(A44&amp;""))&gt;0,TRIM(A44&amp;"")&lt;&gt;"—",ISNUMBER(A44),LEN(TRIM(B44&amp;""))&gt;0,TRIM(B44&amp;"")&lt;&gt;"—",ISNUMBER(B44)),"PASS","⚠ FAIL — "&amp;"a required cell is empty/placeholder or wrong type")</f>
        <v>PASS</v>
      </c>
    </row>
    <row r="45" customFormat="false" ht="15" hidden="false" customHeight="false" outlineLevel="0" collapsed="false">
      <c r="A45" s="51" t="n">
        <v>907143.155924309</v>
      </c>
      <c r="B45" s="38" t="n">
        <v>1132936</v>
      </c>
      <c r="C45" s="52" t="n">
        <v>1.24890506848756</v>
      </c>
      <c r="I45" s="16" t="str">
        <f aca="false">IF(AND(LEN(TRIM(A45&amp;""))&gt;0,TRIM(A45&amp;"")&lt;&gt;"—",ISNUMBER(A45),LEN(TRIM(B45&amp;""))&gt;0,TRIM(B45&amp;"")&lt;&gt;"—",ISNUMBER(B45)),"PASS","⚠ FAIL — "&amp;"a required cell is empty/placeholder or wrong type")</f>
        <v>PASS</v>
      </c>
    </row>
    <row r="46" customFormat="false" ht="15" hidden="false" customHeight="false" outlineLevel="0" collapsed="false">
      <c r="A46" s="51" t="n">
        <v>1142928.7574171</v>
      </c>
      <c r="B46" s="38" t="n">
        <v>1316523</v>
      </c>
      <c r="C46" s="52" t="n">
        <v>1.15188536891764</v>
      </c>
      <c r="I46" s="16" t="str">
        <f aca="false">IF(AND(LEN(TRIM(A46&amp;""))&gt;0,TRIM(A46&amp;"")&lt;&gt;"—",ISNUMBER(A46),LEN(TRIM(B46&amp;""))&gt;0,TRIM(B46&amp;"")&lt;&gt;"—",ISNUMBER(B46)),"PASS","⚠ FAIL — "&amp;"a required cell is empty/placeholder or wrong type")</f>
        <v>PASS</v>
      </c>
    </row>
    <row r="47" customFormat="false" ht="15" hidden="false" customHeight="false" outlineLevel="0" collapsed="false">
      <c r="A47" s="51" t="n">
        <v>1440000</v>
      </c>
      <c r="B47" s="38" t="n">
        <v>1529860</v>
      </c>
      <c r="C47" s="52" t="n">
        <v>1.06240252890745</v>
      </c>
      <c r="I47" s="16" t="str">
        <f aca="false">IF(AND(LEN(TRIM(A47&amp;""))&gt;0,TRIM(A47&amp;"")&lt;&gt;"—",ISNUMBER(A47),LEN(TRIM(B47&amp;""))&gt;0,TRIM(B47&amp;"")&lt;&gt;"—",ISNUMBER(B47)),"PASS","⚠ FAIL — "&amp;"a required cell is empty/placeholder or wrong type")</f>
        <v>PASS</v>
      </c>
    </row>
    <row r="65" customFormat="false" ht="24" hidden="false" customHeight="true" outlineLevel="0" collapsed="false">
      <c r="A65" s="1" t="s">
        <v>289</v>
      </c>
      <c r="B65" s="1"/>
      <c r="C65" s="1"/>
      <c r="D65" s="1"/>
      <c r="E65" s="1"/>
      <c r="F65" s="1"/>
      <c r="G65" s="1"/>
      <c r="H65" s="1"/>
    </row>
    <row r="67" customFormat="false" ht="15" hidden="false" customHeight="true" outlineLevel="0" collapsed="false">
      <c r="A67" s="53" t="s">
        <v>290</v>
      </c>
      <c r="B67" s="53"/>
      <c r="C67" s="53"/>
      <c r="D67" s="53"/>
      <c r="E67" s="53"/>
      <c r="F67" s="53"/>
      <c r="G67" s="53"/>
      <c r="H67" s="53"/>
    </row>
    <row r="68" customFormat="false" ht="15" hidden="false" customHeight="false" outlineLevel="0" collapsed="false">
      <c r="A68" s="53"/>
      <c r="B68" s="53"/>
      <c r="C68" s="53"/>
      <c r="D68" s="53"/>
      <c r="E68" s="53"/>
      <c r="F68" s="53"/>
      <c r="G68" s="53"/>
      <c r="H68" s="53"/>
    </row>
    <row r="70" customFormat="false" ht="24" hidden="false" customHeight="true" outlineLevel="0" collapsed="false">
      <c r="A70" s="1" t="s">
        <v>291</v>
      </c>
      <c r="B70" s="1"/>
      <c r="C70" s="1"/>
      <c r="D70" s="1"/>
      <c r="E70" s="1"/>
      <c r="F70" s="1"/>
      <c r="G70" s="1"/>
      <c r="H70" s="1"/>
    </row>
    <row r="72" customFormat="false" ht="15" hidden="false" customHeight="false" outlineLevel="0" collapsed="false">
      <c r="A72" s="8" t="s">
        <v>292</v>
      </c>
      <c r="B72" s="8"/>
      <c r="C72" s="8"/>
      <c r="D72" s="8"/>
    </row>
    <row r="73" customFormat="false" ht="15" hidden="false" customHeight="false" outlineLevel="0" collapsed="false">
      <c r="A73" s="9" t="s">
        <v>293</v>
      </c>
      <c r="B73" s="9" t="s">
        <v>294</v>
      </c>
      <c r="C73" s="9" t="s">
        <v>15</v>
      </c>
      <c r="D73" s="9" t="s">
        <v>295</v>
      </c>
      <c r="E73" s="10" t="s">
        <v>20</v>
      </c>
    </row>
    <row r="74" customFormat="false" ht="22.35" hidden="false" customHeight="false" outlineLevel="0" collapsed="false">
      <c r="A74" s="17" t="s">
        <v>296</v>
      </c>
      <c r="B74" s="34" t="n">
        <f aca="false">'Inputs &amp; Assumptions'!$B$5*'Inputs &amp; Assumptions'!$B$6</f>
        <v>0</v>
      </c>
      <c r="C74" s="0" t="s">
        <v>297</v>
      </c>
      <c r="D74" s="27" t="s">
        <v>298</v>
      </c>
      <c r="E74" s="16" t="str">
        <f aca="false">IF(AND(LEN(TRIM(A74&amp;""))&gt;0,TRIM(A74&amp;"")&lt;&gt;"—",LEN(TRIM(B74&amp;""))&gt;0,TRIM(B74&amp;"")&lt;&gt;"—",LEN(TRIM(D74&amp;""))&gt;0,TRIM(D74&amp;"")&lt;&gt;"—"),"PASS","⚠ FAIL — "&amp;"a required cell is empty/placeholder or wrong type")</f>
        <v>PASS</v>
      </c>
    </row>
    <row r="75" customFormat="false" ht="95.5" hidden="false" customHeight="false" outlineLevel="0" collapsed="false">
      <c r="A75" s="17" t="s">
        <v>299</v>
      </c>
      <c r="B75" s="34" t="n">
        <f aca="false">'Inputs &amp; Assumptions'!$B$5*'Inputs &amp; Assumptions'!$B$8*'Inputs &amp; Assumptions'!$B$7</f>
        <v>0</v>
      </c>
      <c r="C75" s="0" t="s">
        <v>297</v>
      </c>
      <c r="D75" s="27" t="s">
        <v>300</v>
      </c>
      <c r="E75" s="16" t="str">
        <f aca="false">IF(AND(LEN(TRIM(A75&amp;""))&gt;0,TRIM(A75&amp;"")&lt;&gt;"—",LEN(TRIM(B75&amp;""))&gt;0,TRIM(B75&amp;"")&lt;&gt;"—",LEN(TRIM(D75&amp;""))&gt;0,TRIM(D75&amp;"")&lt;&gt;"—"),"PASS","⚠ FAIL — "&amp;"a required cell is empty/placeholder or wrong type")</f>
        <v>PASS</v>
      </c>
    </row>
    <row r="76" customFormat="false" ht="32.8" hidden="false" customHeight="false" outlineLevel="0" collapsed="false">
      <c r="A76" s="17" t="s">
        <v>301</v>
      </c>
      <c r="B76" s="34" t="n">
        <f aca="false">'Inputs &amp; Assumptions'!$B$10*'Inputs &amp; Assumptions'!$B$12*'Inputs &amp; Assumptions'!$B$11*'Inputs &amp; Assumptions'!$B$9</f>
        <v>41340</v>
      </c>
      <c r="C76" s="0" t="s">
        <v>297</v>
      </c>
      <c r="D76" s="27" t="s">
        <v>302</v>
      </c>
      <c r="E76" s="16" t="str">
        <f aca="false">IF(AND(LEN(TRIM(A76&amp;""))&gt;0,TRIM(A76&amp;"")&lt;&gt;"—",LEN(TRIM(B76&amp;""))&gt;0,TRIM(B76&amp;"")&lt;&gt;"—",LEN(TRIM(D76&amp;""))&gt;0,TRIM(D76&amp;"")&lt;&gt;"—"),"PASS","⚠ FAIL — "&amp;"a required cell is empty/placeholder or wrong type")</f>
        <v>PASS</v>
      </c>
    </row>
    <row r="77" customFormat="false" ht="15" hidden="false" customHeight="false" outlineLevel="0" collapsed="false">
      <c r="A77" s="17" t="s">
        <v>303</v>
      </c>
      <c r="B77" s="34" t="n">
        <f aca="false">'Inputs &amp; Assumptions'!$B$15</f>
        <v>25000</v>
      </c>
      <c r="C77" s="0" t="s">
        <v>297</v>
      </c>
      <c r="D77" s="27" t="s">
        <v>304</v>
      </c>
      <c r="E77" s="16" t="str">
        <f aca="false">IF(AND(LEN(TRIM(A77&amp;""))&gt;0,TRIM(A77&amp;"")&lt;&gt;"—",LEN(TRIM(B77&amp;""))&gt;0,TRIM(B77&amp;"")&lt;&gt;"—",LEN(TRIM(D77&amp;""))&gt;0,TRIM(D77&amp;"")&lt;&gt;"—"),"PASS","⚠ FAIL — "&amp;"a required cell is empty/placeholder or wrong type")</f>
        <v>PASS</v>
      </c>
    </row>
    <row r="78" customFormat="false" ht="15" hidden="false" customHeight="false" outlineLevel="0" collapsed="false">
      <c r="A78" s="17" t="s">
        <v>305</v>
      </c>
      <c r="B78" s="34" t="n">
        <f aca="false">'Inputs &amp; Assumptions'!$B$18*'Inputs &amp; Assumptions'!$B$16/100</f>
        <v>41253.15</v>
      </c>
      <c r="C78" s="0" t="s">
        <v>297</v>
      </c>
      <c r="D78" s="27" t="s">
        <v>306</v>
      </c>
      <c r="E78" s="16" t="str">
        <f aca="false">IF(AND(LEN(TRIM(A78&amp;""))&gt;0,TRIM(A78&amp;"")&lt;&gt;"—",LEN(TRIM(B78&amp;""))&gt;0,TRIM(B78&amp;"")&lt;&gt;"—",LEN(TRIM(D78&amp;""))&gt;0,TRIM(D78&amp;"")&lt;&gt;"—"),"PASS","⚠ FAIL — "&amp;"a required cell is empty/placeholder or wrong type")</f>
        <v>PASS</v>
      </c>
    </row>
    <row r="79" customFormat="false" ht="15" hidden="false" customHeight="false" outlineLevel="0" collapsed="false">
      <c r="A79" s="17" t="s">
        <v>307</v>
      </c>
      <c r="B79" s="34" t="n">
        <f aca="false">'Inputs &amp; Assumptions'!$B$17</f>
        <v>27502</v>
      </c>
      <c r="C79" s="0" t="s">
        <v>297</v>
      </c>
      <c r="D79" s="27" t="s">
        <v>304</v>
      </c>
      <c r="E79" s="16" t="str">
        <f aca="false">IF(AND(LEN(TRIM(A79&amp;""))&gt;0,TRIM(A79&amp;"")&lt;&gt;"—",LEN(TRIM(B79&amp;""))&gt;0,TRIM(B79&amp;"")&lt;&gt;"—",LEN(TRIM(D79&amp;""))&gt;0,TRIM(D79&amp;"")&lt;&gt;"—"),"PASS","⚠ FAIL — "&amp;"a required cell is empty/placeholder or wrong type")</f>
        <v>PASS</v>
      </c>
    </row>
    <row r="80" customFormat="false" ht="32.8" hidden="false" customHeight="false" outlineLevel="0" collapsed="false">
      <c r="A80" s="17" t="s">
        <v>308</v>
      </c>
      <c r="B80" s="54" t="n">
        <f aca="false">B75+B76+B77+B78+B79</f>
        <v>135095.15</v>
      </c>
      <c r="C80" s="0" t="s">
        <v>297</v>
      </c>
      <c r="D80" s="27" t="s">
        <v>309</v>
      </c>
    </row>
    <row r="81" customFormat="false" ht="15" hidden="false" customHeight="false" outlineLevel="0" collapsed="false">
      <c r="A81" s="17" t="s">
        <v>310</v>
      </c>
      <c r="B81" s="54" t="n">
        <f aca="false">B74-B80</f>
        <v>-135095.15</v>
      </c>
      <c r="C81" s="0" t="s">
        <v>297</v>
      </c>
      <c r="D81" s="27" t="s">
        <v>311</v>
      </c>
      <c r="E81" s="16" t="str">
        <f aca="false">IF(AND(LEN(TRIM(A81&amp;""))&gt;0,TRIM(A81&amp;"")&lt;&gt;"—",LEN(TRIM(B81&amp;""))&gt;0,TRIM(B81&amp;"")&lt;&gt;"—",LEN(TRIM(D81&amp;""))&gt;0,TRIM(D81&amp;"")&lt;&gt;"—"),"PASS","⚠ FAIL — "&amp;"a required cell is empty/placeholder or wrong type")</f>
        <v>PASS</v>
      </c>
    </row>
    <row r="83" customFormat="false" ht="15" hidden="false" customHeight="false" outlineLevel="0" collapsed="false">
      <c r="A83" s="8" t="s">
        <v>312</v>
      </c>
      <c r="B83" s="8"/>
      <c r="C83" s="8"/>
      <c r="D83" s="8"/>
    </row>
    <row r="84" customFormat="false" ht="15" hidden="false" customHeight="false" outlineLevel="0" collapsed="false">
      <c r="A84" s="17" t="s">
        <v>313</v>
      </c>
      <c r="B84" s="55" t="str">
        <f aca="false">IF(B74&lt;&gt;0,B81/B74,"n/a — no revenue basis")</f>
        <v>n/a — no revenue basis</v>
      </c>
      <c r="D84" s="10" t="s">
        <v>314</v>
      </c>
    </row>
    <row r="85" customFormat="false" ht="15" hidden="false" customHeight="false" outlineLevel="0" collapsed="false">
      <c r="A85" s="17" t="s">
        <v>315</v>
      </c>
      <c r="B85" s="56" t="str">
        <f aca="false">IF(B81&gt;0,'Inputs &amp; Assumptions'!$B$18/B81,"n/a (EBITDA≤0)")</f>
        <v>n/a (EBITDA≤0)</v>
      </c>
      <c r="C85" s="0" t="s">
        <v>316</v>
      </c>
      <c r="D85" s="10" t="s">
        <v>317</v>
      </c>
    </row>
    <row r="87" customFormat="false" ht="15" hidden="false" customHeight="false" outlineLevel="0" collapsed="false">
      <c r="A87" s="8" t="s">
        <v>318</v>
      </c>
      <c r="B87" s="8"/>
      <c r="C87" s="8"/>
      <c r="D87" s="8"/>
    </row>
    <row r="88" customFormat="false" ht="23.85" hidden="false" customHeight="false" outlineLevel="0" collapsed="false">
      <c r="A88" s="9" t="s">
        <v>319</v>
      </c>
      <c r="B88" s="9" t="s">
        <v>320</v>
      </c>
      <c r="C88" s="9" t="s">
        <v>321</v>
      </c>
      <c r="D88" s="9" t="s">
        <v>19</v>
      </c>
      <c r="E88" s="10" t="s">
        <v>20</v>
      </c>
    </row>
    <row r="89" customFormat="false" ht="15" hidden="false" customHeight="false" outlineLevel="0" collapsed="false">
      <c r="A89" s="11" t="n">
        <v>0</v>
      </c>
      <c r="B89" s="36" t="n">
        <f aca="false">-'Inputs &amp; Assumptions'!$B$18</f>
        <v>-1375105</v>
      </c>
      <c r="C89" s="36" t="n">
        <f aca="false">B89/((1+'Inputs &amp; Assumptions'!$B$20/100)^A89)</f>
        <v>-1375105</v>
      </c>
      <c r="D89" s="10" t="s">
        <v>322</v>
      </c>
      <c r="E89" s="16" t="str">
        <f aca="false">IF(AND(LEN(TRIM(A89&amp;""))&gt;0,TRIM(A89&amp;"")&lt;&gt;"—",LEN(TRIM(B89&amp;""))&gt;0,TRIM(B89&amp;"")&lt;&gt;"—",LEN(TRIM(C89&amp;""))&gt;0,TRIM(C89&amp;"")&lt;&gt;"—"),"PASS","⚠ FAIL — "&amp;"a required cell is empty/placeholder or wrong type")</f>
        <v>PASS</v>
      </c>
    </row>
    <row r="90" customFormat="false" ht="15" hidden="false" customHeight="false" outlineLevel="0" collapsed="false">
      <c r="A90" s="11" t="n">
        <v>1</v>
      </c>
      <c r="B90" s="36" t="n">
        <f aca="false">IF(1&lt;='Inputs &amp; Assumptions'!$B$22,B81,0)</f>
        <v>-135095.15</v>
      </c>
      <c r="C90" s="36" t="n">
        <f aca="false">B90/((1+'Inputs &amp; Assumptions'!$B$20/100)^A90)</f>
        <v>-122813.772727273</v>
      </c>
      <c r="D90" s="10" t="s">
        <v>323</v>
      </c>
      <c r="E90" s="16" t="str">
        <f aca="false">IF(AND(LEN(TRIM(A90&amp;""))&gt;0,TRIM(A90&amp;"")&lt;&gt;"—",LEN(TRIM(B90&amp;""))&gt;0,TRIM(B90&amp;"")&lt;&gt;"—",LEN(TRIM(C90&amp;""))&gt;0,TRIM(C90&amp;"")&lt;&gt;"—"),"PASS","⚠ FAIL — "&amp;"a required cell is empty/placeholder or wrong type")</f>
        <v>PASS</v>
      </c>
    </row>
    <row r="91" customFormat="false" ht="15" hidden="false" customHeight="false" outlineLevel="0" collapsed="false">
      <c r="A91" s="11" t="n">
        <v>2</v>
      </c>
      <c r="B91" s="36" t="n">
        <f aca="false">IF(2&lt;='Inputs &amp; Assumptions'!$B$22,B81,0)</f>
        <v>-135095.15</v>
      </c>
      <c r="C91" s="36" t="n">
        <f aca="false">B91/((1+'Inputs &amp; Assumptions'!$B$20/100)^A91)</f>
        <v>-111648.884297521</v>
      </c>
      <c r="D91" s="10" t="s">
        <v>323</v>
      </c>
      <c r="E91" s="16" t="str">
        <f aca="false">IF(AND(LEN(TRIM(A91&amp;""))&gt;0,TRIM(A91&amp;"")&lt;&gt;"—",LEN(TRIM(B91&amp;""))&gt;0,TRIM(B91&amp;"")&lt;&gt;"—",LEN(TRIM(C91&amp;""))&gt;0,TRIM(C91&amp;"")&lt;&gt;"—"),"PASS","⚠ FAIL — "&amp;"a required cell is empty/placeholder or wrong type")</f>
        <v>PASS</v>
      </c>
    </row>
    <row r="92" customFormat="false" ht="15" hidden="false" customHeight="false" outlineLevel="0" collapsed="false">
      <c r="A92" s="11" t="n">
        <v>3</v>
      </c>
      <c r="B92" s="36" t="n">
        <f aca="false">IF(3&lt;='Inputs &amp; Assumptions'!$B$22,B81,0)</f>
        <v>-135095.15</v>
      </c>
      <c r="C92" s="36" t="n">
        <f aca="false">B92/((1+'Inputs &amp; Assumptions'!$B$20/100)^A92)</f>
        <v>-101498.985725019</v>
      </c>
      <c r="D92" s="10" t="s">
        <v>323</v>
      </c>
      <c r="E92" s="16" t="str">
        <f aca="false">IF(AND(LEN(TRIM(A92&amp;""))&gt;0,TRIM(A92&amp;"")&lt;&gt;"—",LEN(TRIM(B92&amp;""))&gt;0,TRIM(B92&amp;"")&lt;&gt;"—",LEN(TRIM(C92&amp;""))&gt;0,TRIM(C92&amp;"")&lt;&gt;"—"),"PASS","⚠ FAIL — "&amp;"a required cell is empty/placeholder or wrong type")</f>
        <v>PASS</v>
      </c>
    </row>
    <row r="93" customFormat="false" ht="15" hidden="false" customHeight="false" outlineLevel="0" collapsed="false">
      <c r="A93" s="11" t="n">
        <v>4</v>
      </c>
      <c r="B93" s="36" t="n">
        <f aca="false">IF(4&lt;='Inputs &amp; Assumptions'!$B$22,B81,0)</f>
        <v>-135095.15</v>
      </c>
      <c r="C93" s="36" t="n">
        <f aca="false">B93/((1+'Inputs &amp; Assumptions'!$B$20/100)^A93)</f>
        <v>-92271.8052045625</v>
      </c>
      <c r="D93" s="10" t="s">
        <v>323</v>
      </c>
      <c r="E93" s="16" t="str">
        <f aca="false">IF(AND(LEN(TRIM(A93&amp;""))&gt;0,TRIM(A93&amp;"")&lt;&gt;"—",LEN(TRIM(B93&amp;""))&gt;0,TRIM(B93&amp;"")&lt;&gt;"—",LEN(TRIM(C93&amp;""))&gt;0,TRIM(C93&amp;"")&lt;&gt;"—"),"PASS","⚠ FAIL — "&amp;"a required cell is empty/placeholder or wrong type")</f>
        <v>PASS</v>
      </c>
    </row>
    <row r="94" customFormat="false" ht="15" hidden="false" customHeight="false" outlineLevel="0" collapsed="false">
      <c r="A94" s="11" t="n">
        <v>5</v>
      </c>
      <c r="B94" s="36" t="n">
        <f aca="false">IF(5&lt;='Inputs &amp; Assumptions'!$B$22,B81,0)</f>
        <v>-135095.15</v>
      </c>
      <c r="C94" s="36" t="n">
        <f aca="false">B94/((1+'Inputs &amp; Assumptions'!$B$20/100)^A94)</f>
        <v>-83883.459276875</v>
      </c>
      <c r="D94" s="10" t="s">
        <v>323</v>
      </c>
      <c r="E94" s="16" t="str">
        <f aca="false">IF(AND(LEN(TRIM(A94&amp;""))&gt;0,TRIM(A94&amp;"")&lt;&gt;"—",LEN(TRIM(B94&amp;""))&gt;0,TRIM(B94&amp;"")&lt;&gt;"—",LEN(TRIM(C94&amp;""))&gt;0,TRIM(C94&amp;"")&lt;&gt;"—"),"PASS","⚠ FAIL — "&amp;"a required cell is empty/placeholder or wrong type")</f>
        <v>PASS</v>
      </c>
    </row>
    <row r="95" customFormat="false" ht="15" hidden="false" customHeight="false" outlineLevel="0" collapsed="false">
      <c r="A95" s="11" t="n">
        <v>6</v>
      </c>
      <c r="B95" s="36" t="n">
        <f aca="false">IF(6&lt;='Inputs &amp; Assumptions'!$B$22,B81,0)</f>
        <v>-135095.15</v>
      </c>
      <c r="C95" s="36" t="n">
        <f aca="false">B95/((1+'Inputs &amp; Assumptions'!$B$20/100)^A95)</f>
        <v>-76257.6902517045</v>
      </c>
      <c r="D95" s="10" t="s">
        <v>323</v>
      </c>
      <c r="E95" s="16" t="str">
        <f aca="false">IF(AND(LEN(TRIM(A95&amp;""))&gt;0,TRIM(A95&amp;"")&lt;&gt;"—",LEN(TRIM(B95&amp;""))&gt;0,TRIM(B95&amp;"")&lt;&gt;"—",LEN(TRIM(C95&amp;""))&gt;0,TRIM(C95&amp;"")&lt;&gt;"—"),"PASS","⚠ FAIL — "&amp;"a required cell is empty/placeholder or wrong type")</f>
        <v>PASS</v>
      </c>
    </row>
    <row r="96" customFormat="false" ht="15" hidden="false" customHeight="false" outlineLevel="0" collapsed="false">
      <c r="A96" s="11" t="n">
        <v>7</v>
      </c>
      <c r="B96" s="36" t="n">
        <f aca="false">IF(7&lt;='Inputs &amp; Assumptions'!$B$22,B81,0)</f>
        <v>-135095.15</v>
      </c>
      <c r="C96" s="36" t="n">
        <f aca="false">B96/((1+'Inputs &amp; Assumptions'!$B$20/100)^A96)</f>
        <v>-69325.172956095</v>
      </c>
      <c r="D96" s="10" t="s">
        <v>323</v>
      </c>
      <c r="E96" s="16" t="str">
        <f aca="false">IF(AND(LEN(TRIM(A96&amp;""))&gt;0,TRIM(A96&amp;"")&lt;&gt;"—",LEN(TRIM(B96&amp;""))&gt;0,TRIM(B96&amp;"")&lt;&gt;"—",LEN(TRIM(C96&amp;""))&gt;0,TRIM(C96&amp;"")&lt;&gt;"—"),"PASS","⚠ FAIL — "&amp;"a required cell is empty/placeholder or wrong type")</f>
        <v>PASS</v>
      </c>
    </row>
    <row r="97" customFormat="false" ht="15" hidden="false" customHeight="false" outlineLevel="0" collapsed="false">
      <c r="A97" s="11" t="n">
        <v>8</v>
      </c>
      <c r="B97" s="36" t="n">
        <f aca="false">IF(8&lt;='Inputs &amp; Assumptions'!$B$22,B81,0)</f>
        <v>-135095.15</v>
      </c>
      <c r="C97" s="36" t="n">
        <f aca="false">B97/((1+'Inputs &amp; Assumptions'!$B$20/100)^A97)</f>
        <v>-63022.8845055409</v>
      </c>
      <c r="D97" s="10" t="s">
        <v>323</v>
      </c>
      <c r="E97" s="16" t="str">
        <f aca="false">IF(AND(LEN(TRIM(A97&amp;""))&gt;0,TRIM(A97&amp;"")&lt;&gt;"—",LEN(TRIM(B97&amp;""))&gt;0,TRIM(B97&amp;"")&lt;&gt;"—",LEN(TRIM(C97&amp;""))&gt;0,TRIM(C97&amp;"")&lt;&gt;"—"),"PASS","⚠ FAIL — "&amp;"a required cell is empty/placeholder or wrong type")</f>
        <v>PASS</v>
      </c>
    </row>
    <row r="98" customFormat="false" ht="15" hidden="false" customHeight="false" outlineLevel="0" collapsed="false">
      <c r="A98" s="11" t="n">
        <v>9</v>
      </c>
      <c r="B98" s="36" t="n">
        <f aca="false">IF(9&lt;='Inputs &amp; Assumptions'!$B$22,B81,0)</f>
        <v>-135095.15</v>
      </c>
      <c r="C98" s="36" t="n">
        <f aca="false">B98/((1+'Inputs &amp; Assumptions'!$B$20/100)^A98)</f>
        <v>-57293.5313686736</v>
      </c>
      <c r="D98" s="10" t="s">
        <v>323</v>
      </c>
      <c r="E98" s="16" t="str">
        <f aca="false">IF(AND(LEN(TRIM(A98&amp;""))&gt;0,TRIM(A98&amp;"")&lt;&gt;"—",LEN(TRIM(B98&amp;""))&gt;0,TRIM(B98&amp;"")&lt;&gt;"—",LEN(TRIM(C98&amp;""))&gt;0,TRIM(C98&amp;"")&lt;&gt;"—"),"PASS","⚠ FAIL — "&amp;"a required cell is empty/placeholder or wrong type")</f>
        <v>PASS</v>
      </c>
    </row>
    <row r="99" customFormat="false" ht="15" hidden="false" customHeight="false" outlineLevel="0" collapsed="false">
      <c r="A99" s="11" t="n">
        <v>10</v>
      </c>
      <c r="B99" s="36" t="n">
        <f aca="false">IF(10&lt;='Inputs &amp; Assumptions'!$B$22,B81,0)</f>
        <v>-135095.15</v>
      </c>
      <c r="C99" s="36" t="n">
        <f aca="false">B99/((1+'Inputs &amp; Assumptions'!$B$20/100)^A99)</f>
        <v>-52085.028516976</v>
      </c>
      <c r="D99" s="10" t="s">
        <v>323</v>
      </c>
      <c r="E99" s="16" t="str">
        <f aca="false">IF(AND(LEN(TRIM(A99&amp;""))&gt;0,TRIM(A99&amp;"")&lt;&gt;"—",LEN(TRIM(B99&amp;""))&gt;0,TRIM(B99&amp;"")&lt;&gt;"—",LEN(TRIM(C99&amp;""))&gt;0,TRIM(C99&amp;"")&lt;&gt;"—"),"PASS","⚠ FAIL — "&amp;"a required cell is empty/placeholder or wrong type")</f>
        <v>PASS</v>
      </c>
    </row>
    <row r="100" customFormat="false" ht="15" hidden="false" customHeight="false" outlineLevel="0" collapsed="false">
      <c r="A100" s="11" t="n">
        <v>11</v>
      </c>
      <c r="B100" s="36" t="n">
        <f aca="false">IF(11&lt;='Inputs &amp; Assumptions'!$B$22,B81,0)</f>
        <v>-135095.15</v>
      </c>
      <c r="C100" s="36" t="n">
        <f aca="false">B100/((1+'Inputs &amp; Assumptions'!$B$20/100)^A100)</f>
        <v>-47350.0259245236</v>
      </c>
      <c r="D100" s="10" t="s">
        <v>323</v>
      </c>
      <c r="E100" s="16" t="str">
        <f aca="false">IF(AND(LEN(TRIM(A100&amp;""))&gt;0,TRIM(A100&amp;"")&lt;&gt;"—",LEN(TRIM(B100&amp;""))&gt;0,TRIM(B100&amp;"")&lt;&gt;"—",LEN(TRIM(C100&amp;""))&gt;0,TRIM(C100&amp;"")&lt;&gt;"—"),"PASS","⚠ FAIL — "&amp;"a required cell is empty/placeholder or wrong type")</f>
        <v>PASS</v>
      </c>
    </row>
    <row r="101" customFormat="false" ht="15" hidden="false" customHeight="false" outlineLevel="0" collapsed="false">
      <c r="A101" s="11" t="n">
        <v>12</v>
      </c>
      <c r="B101" s="36" t="n">
        <f aca="false">IF(12&lt;='Inputs &amp; Assumptions'!$B$22,B81,0)</f>
        <v>-135095.15</v>
      </c>
      <c r="C101" s="36" t="n">
        <f aca="false">B101/((1+'Inputs &amp; Assumptions'!$B$20/100)^A101)</f>
        <v>-43045.4781132033</v>
      </c>
      <c r="D101" s="10" t="s">
        <v>323</v>
      </c>
      <c r="E101" s="16" t="str">
        <f aca="false">IF(AND(LEN(TRIM(A101&amp;""))&gt;0,TRIM(A101&amp;"")&lt;&gt;"—",LEN(TRIM(B101&amp;""))&gt;0,TRIM(B101&amp;"")&lt;&gt;"—",LEN(TRIM(C101&amp;""))&gt;0,TRIM(C101&amp;"")&lt;&gt;"—"),"PASS","⚠ FAIL — "&amp;"a required cell is empty/placeholder or wrong type")</f>
        <v>PASS</v>
      </c>
    </row>
    <row r="102" customFormat="false" ht="15" hidden="false" customHeight="false" outlineLevel="0" collapsed="false">
      <c r="A102" s="11" t="n">
        <v>13</v>
      </c>
      <c r="B102" s="36" t="n">
        <f aca="false">IF(13&lt;='Inputs &amp; Assumptions'!$B$22,B81,0)</f>
        <v>-135095.15</v>
      </c>
      <c r="C102" s="36" t="n">
        <f aca="false">B102/((1+'Inputs &amp; Assumptions'!$B$20/100)^A102)</f>
        <v>-39132.2528301848</v>
      </c>
      <c r="D102" s="10" t="s">
        <v>323</v>
      </c>
      <c r="E102" s="16" t="str">
        <f aca="false">IF(AND(LEN(TRIM(A102&amp;""))&gt;0,TRIM(A102&amp;"")&lt;&gt;"—",LEN(TRIM(B102&amp;""))&gt;0,TRIM(B102&amp;"")&lt;&gt;"—",LEN(TRIM(C102&amp;""))&gt;0,TRIM(C102&amp;"")&lt;&gt;"—"),"PASS","⚠ FAIL — "&amp;"a required cell is empty/placeholder or wrong type")</f>
        <v>PASS</v>
      </c>
    </row>
    <row r="103" customFormat="false" ht="15" hidden="false" customHeight="false" outlineLevel="0" collapsed="false">
      <c r="A103" s="11" t="n">
        <v>14</v>
      </c>
      <c r="B103" s="36" t="n">
        <f aca="false">IF(14&lt;='Inputs &amp; Assumptions'!$B$22,B81,0)</f>
        <v>-135095.15</v>
      </c>
      <c r="C103" s="36" t="n">
        <f aca="false">B103/((1+'Inputs &amp; Assumptions'!$B$20/100)^A103)</f>
        <v>-35574.775300168</v>
      </c>
      <c r="D103" s="10" t="s">
        <v>323</v>
      </c>
      <c r="E103" s="16" t="str">
        <f aca="false">IF(AND(LEN(TRIM(A103&amp;""))&gt;0,TRIM(A103&amp;"")&lt;&gt;"—",LEN(TRIM(B103&amp;""))&gt;0,TRIM(B103&amp;"")&lt;&gt;"—",LEN(TRIM(C103&amp;""))&gt;0,TRIM(C103&amp;"")&lt;&gt;"—"),"PASS","⚠ FAIL — "&amp;"a required cell is empty/placeholder or wrong type")</f>
        <v>PASS</v>
      </c>
    </row>
    <row r="104" customFormat="false" ht="15" hidden="false" customHeight="false" outlineLevel="0" collapsed="false">
      <c r="A104" s="11" t="n">
        <v>15</v>
      </c>
      <c r="B104" s="36" t="n">
        <f aca="false">IF(15&lt;='Inputs &amp; Assumptions'!$B$22,B81,0)</f>
        <v>-135095.15</v>
      </c>
      <c r="C104" s="36" t="n">
        <f aca="false">B104/((1+'Inputs &amp; Assumptions'!$B$20/100)^A104)</f>
        <v>-32340.7048183345</v>
      </c>
      <c r="D104" s="10" t="s">
        <v>323</v>
      </c>
      <c r="E104" s="16" t="str">
        <f aca="false">IF(AND(LEN(TRIM(A104&amp;""))&gt;0,TRIM(A104&amp;"")&lt;&gt;"—",LEN(TRIM(B104&amp;""))&gt;0,TRIM(B104&amp;"")&lt;&gt;"—",LEN(TRIM(C104&amp;""))&gt;0,TRIM(C104&amp;"")&lt;&gt;"—"),"PASS","⚠ FAIL — "&amp;"a required cell is empty/placeholder or wrong type")</f>
        <v>PASS</v>
      </c>
    </row>
    <row r="105" customFormat="false" ht="15" hidden="false" customHeight="false" outlineLevel="0" collapsed="false">
      <c r="A105" s="11" t="n">
        <v>16</v>
      </c>
      <c r="B105" s="36" t="n">
        <f aca="false">IF(16&lt;='Inputs &amp; Assumptions'!$B$22,B81,0)</f>
        <v>-135095.15</v>
      </c>
      <c r="C105" s="36" t="n">
        <f aca="false">B105/((1+'Inputs &amp; Assumptions'!$B$20/100)^A105)</f>
        <v>-29400.6407439405</v>
      </c>
      <c r="D105" s="10" t="s">
        <v>323</v>
      </c>
      <c r="E105" s="16" t="str">
        <f aca="false">IF(AND(LEN(TRIM(A105&amp;""))&gt;0,TRIM(A105&amp;"")&lt;&gt;"—",LEN(TRIM(B105&amp;""))&gt;0,TRIM(B105&amp;"")&lt;&gt;"—",LEN(TRIM(C105&amp;""))&gt;0,TRIM(C105&amp;"")&lt;&gt;"—"),"PASS","⚠ FAIL — "&amp;"a required cell is empty/placeholder or wrong type")</f>
        <v>PASS</v>
      </c>
    </row>
    <row r="106" customFormat="false" ht="15" hidden="false" customHeight="false" outlineLevel="0" collapsed="false">
      <c r="A106" s="11" t="n">
        <v>17</v>
      </c>
      <c r="B106" s="36" t="n">
        <f aca="false">IF(17&lt;='Inputs &amp; Assumptions'!$B$22,B81,0)</f>
        <v>-135095.15</v>
      </c>
      <c r="C106" s="36" t="n">
        <f aca="false">B106/((1+'Inputs &amp; Assumptions'!$B$20/100)^A106)</f>
        <v>-26727.8552217641</v>
      </c>
      <c r="D106" s="10" t="s">
        <v>323</v>
      </c>
      <c r="E106" s="16" t="str">
        <f aca="false">IF(AND(LEN(TRIM(A106&amp;""))&gt;0,TRIM(A106&amp;"")&lt;&gt;"—",LEN(TRIM(B106&amp;""))&gt;0,TRIM(B106&amp;"")&lt;&gt;"—",LEN(TRIM(C106&amp;""))&gt;0,TRIM(C106&amp;"")&lt;&gt;"—"),"PASS","⚠ FAIL — "&amp;"a required cell is empty/placeholder or wrong type")</f>
        <v>PASS</v>
      </c>
    </row>
    <row r="107" customFormat="false" ht="15" hidden="false" customHeight="false" outlineLevel="0" collapsed="false">
      <c r="A107" s="11" t="n">
        <v>18</v>
      </c>
      <c r="B107" s="36" t="n">
        <f aca="false">IF(18&lt;='Inputs &amp; Assumptions'!$B$22,B81,0)</f>
        <v>-135095.15</v>
      </c>
      <c r="C107" s="36" t="n">
        <f aca="false">B107/((1+'Inputs &amp; Assumptions'!$B$20/100)^A107)</f>
        <v>-24298.0502016037</v>
      </c>
      <c r="D107" s="10" t="s">
        <v>323</v>
      </c>
      <c r="E107" s="16" t="str">
        <f aca="false">IF(AND(LEN(TRIM(A107&amp;""))&gt;0,TRIM(A107&amp;"")&lt;&gt;"—",LEN(TRIM(B107&amp;""))&gt;0,TRIM(B107&amp;"")&lt;&gt;"—",LEN(TRIM(C107&amp;""))&gt;0,TRIM(C107&amp;"")&lt;&gt;"—"),"PASS","⚠ FAIL — "&amp;"a required cell is empty/placeholder or wrong type")</f>
        <v>PASS</v>
      </c>
    </row>
    <row r="108" customFormat="false" ht="15" hidden="false" customHeight="false" outlineLevel="0" collapsed="false">
      <c r="A108" s="11" t="n">
        <v>19</v>
      </c>
      <c r="B108" s="36" t="n">
        <f aca="false">IF(19&lt;='Inputs &amp; Assumptions'!$B$22,B81,0)</f>
        <v>-135095.15</v>
      </c>
      <c r="C108" s="36" t="n">
        <f aca="false">B108/((1+'Inputs &amp; Assumptions'!$B$20/100)^A108)</f>
        <v>-22089.1365469125</v>
      </c>
      <c r="D108" s="10" t="s">
        <v>323</v>
      </c>
      <c r="E108" s="16" t="str">
        <f aca="false">IF(AND(LEN(TRIM(A108&amp;""))&gt;0,TRIM(A108&amp;"")&lt;&gt;"—",LEN(TRIM(B108&amp;""))&gt;0,TRIM(B108&amp;"")&lt;&gt;"—",LEN(TRIM(C108&amp;""))&gt;0,TRIM(C108&amp;"")&lt;&gt;"—"),"PASS","⚠ FAIL — "&amp;"a required cell is empty/placeholder or wrong type")</f>
        <v>PASS</v>
      </c>
    </row>
    <row r="109" customFormat="false" ht="15" hidden="false" customHeight="false" outlineLevel="0" collapsed="false">
      <c r="A109" s="11" t="n">
        <v>20</v>
      </c>
      <c r="B109" s="36" t="n">
        <f aca="false">IF(20&lt;='Inputs &amp; Assumptions'!$B$22,B81,0)</f>
        <v>-135095.15</v>
      </c>
      <c r="C109" s="36" t="n">
        <f aca="false">B109/((1+'Inputs &amp; Assumptions'!$B$20/100)^A109)</f>
        <v>-20081.0332244659</v>
      </c>
      <c r="D109" s="10" t="s">
        <v>323</v>
      </c>
      <c r="E109" s="16" t="str">
        <f aca="false">IF(AND(LEN(TRIM(A109&amp;""))&gt;0,TRIM(A109&amp;"")&lt;&gt;"—",LEN(TRIM(B109&amp;""))&gt;0,TRIM(B109&amp;"")&lt;&gt;"—",LEN(TRIM(C109&amp;""))&gt;0,TRIM(C109&amp;"")&lt;&gt;"—"),"PASS","⚠ FAIL — "&amp;"a required cell is empty/placeholder or wrong type")</f>
        <v>PASS</v>
      </c>
    </row>
    <row r="110" customFormat="false" ht="15" hidden="false" customHeight="false" outlineLevel="0" collapsed="false">
      <c r="A110" s="17" t="s">
        <v>324</v>
      </c>
      <c r="C110" s="34" t="n">
        <f aca="false">SUM(C89:C109)</f>
        <v>-2525246.16775534</v>
      </c>
      <c r="D110" s="10" t="s">
        <v>325</v>
      </c>
      <c r="E110" s="16" t="str">
        <f aca="false">IF(AND(LEN(TRIM(A110&amp;""))&gt;0,TRIM(A110&amp;"")&lt;&gt;"—",LEN(TRIM(C110&amp;""))&gt;0,TRIM(C110&amp;"")&lt;&gt;"—"),"PASS","⚠ FAIL — "&amp;"a required cell is empty/placeholder or wrong type")</f>
        <v>PASS</v>
      </c>
    </row>
    <row r="111" customFormat="false" ht="15" hidden="false" customHeight="false" outlineLevel="0" collapsed="false">
      <c r="A111" s="17" t="s">
        <v>326</v>
      </c>
      <c r="C111" s="55" t="str">
        <f aca="false">IFERROR(IRR(B89:B109),"n/a — no revenue basis")</f>
        <v>n/a — no revenue basis</v>
      </c>
      <c r="D111" s="10" t="s">
        <v>327</v>
      </c>
      <c r="E111" s="16" t="str">
        <f aca="false">IF(AND(LEN(TRIM(A111&amp;""))&gt;0,TRIM(A111&amp;"")&lt;&gt;"—",LEN(TRIM(C111&amp;""))&gt;0,TRIM(C111&amp;"")&lt;&gt;"—"),"PASS","⚠ FAIL — "&amp;"a required cell is empty/placeholder or wrong type")</f>
        <v>PASS</v>
      </c>
    </row>
    <row r="113" customFormat="false" ht="15" hidden="false" customHeight="false" outlineLevel="0" collapsed="false">
      <c r="A113" s="8" t="s">
        <v>328</v>
      </c>
      <c r="B113" s="8"/>
      <c r="C113" s="8"/>
      <c r="D113" s="8"/>
    </row>
    <row r="114" customFormat="false" ht="15" hidden="false" customHeight="false" outlineLevel="0" collapsed="false">
      <c r="A114" s="9" t="s">
        <v>329</v>
      </c>
      <c r="B114" s="9" t="s">
        <v>294</v>
      </c>
      <c r="C114" s="9" t="s">
        <v>330</v>
      </c>
      <c r="D114" s="9"/>
      <c r="E114" s="10" t="s">
        <v>20</v>
      </c>
    </row>
    <row r="115" customFormat="false" ht="15" hidden="false" customHeight="false" outlineLevel="0" collapsed="false">
      <c r="A115" s="11" t="s">
        <v>331</v>
      </c>
      <c r="B115" s="36" t="n">
        <f aca="false">B75</f>
        <v>0</v>
      </c>
      <c r="C115" s="57" t="n">
        <f aca="false">B115/B80</f>
        <v>0</v>
      </c>
      <c r="E115" s="16" t="str">
        <f aca="false">IF(AND(LEN(TRIM(A115&amp;""))&gt;0,TRIM(A115&amp;"")&lt;&gt;"—",LEN(TRIM(B115&amp;""))&gt;0,TRIM(B115&amp;"")&lt;&gt;"—"),"PASS","⚠ FAIL — "&amp;"a required cell is empty/placeholder or wrong type")</f>
        <v>PASS</v>
      </c>
    </row>
    <row r="116" customFormat="false" ht="15" hidden="false" customHeight="false" outlineLevel="0" collapsed="false">
      <c r="A116" s="11" t="s">
        <v>332</v>
      </c>
      <c r="B116" s="36" t="n">
        <f aca="false">B76</f>
        <v>41340</v>
      </c>
      <c r="C116" s="57" t="n">
        <f aca="false">B116/B80</f>
        <v>0.306006544276386</v>
      </c>
      <c r="E116" s="16" t="str">
        <f aca="false">IF(AND(LEN(TRIM(A116&amp;""))&gt;0,TRIM(A116&amp;"")&lt;&gt;"—",LEN(TRIM(B116&amp;""))&gt;0,TRIM(B116&amp;"")&lt;&gt;"—"),"PASS","⚠ FAIL — "&amp;"a required cell is empty/placeholder or wrong type")</f>
        <v>PASS</v>
      </c>
    </row>
    <row r="117" customFormat="false" ht="15" hidden="false" customHeight="false" outlineLevel="0" collapsed="false">
      <c r="A117" s="11" t="s">
        <v>303</v>
      </c>
      <c r="B117" s="36" t="n">
        <f aca="false">B77</f>
        <v>25000</v>
      </c>
      <c r="C117" s="57" t="n">
        <f aca="false">B117/B80</f>
        <v>0.185054755851709</v>
      </c>
      <c r="E117" s="16" t="str">
        <f aca="false">IF(AND(LEN(TRIM(A117&amp;""))&gt;0,TRIM(A117&amp;"")&lt;&gt;"—",LEN(TRIM(B117&amp;""))&gt;0,TRIM(B117&amp;"")&lt;&gt;"—"),"PASS","⚠ FAIL — "&amp;"a required cell is empty/placeholder or wrong type")</f>
        <v>PASS</v>
      </c>
    </row>
    <row r="118" customFormat="false" ht="15" hidden="false" customHeight="false" outlineLevel="0" collapsed="false">
      <c r="A118" s="11" t="s">
        <v>305</v>
      </c>
      <c r="B118" s="36" t="n">
        <f aca="false">B78</f>
        <v>41253.15</v>
      </c>
      <c r="C118" s="57" t="n">
        <f aca="false">B118/B80</f>
        <v>0.305363664054557</v>
      </c>
      <c r="E118" s="16" t="str">
        <f aca="false">IF(AND(LEN(TRIM(A118&amp;""))&gt;0,TRIM(A118&amp;"")&lt;&gt;"—",LEN(TRIM(B118&amp;""))&gt;0,TRIM(B118&amp;"")&lt;&gt;"—"),"PASS","⚠ FAIL — "&amp;"a required cell is empty/placeholder or wrong type")</f>
        <v>PASS</v>
      </c>
    </row>
    <row r="119" customFormat="false" ht="15" hidden="false" customHeight="false" outlineLevel="0" collapsed="false">
      <c r="A119" s="11" t="s">
        <v>333</v>
      </c>
      <c r="B119" s="36" t="n">
        <f aca="false">B79</f>
        <v>27502</v>
      </c>
      <c r="C119" s="57" t="n">
        <f aca="false">B119/B80</f>
        <v>0.203575035817348</v>
      </c>
      <c r="E119" s="16" t="str">
        <f aca="false">IF(AND(LEN(TRIM(A119&amp;""))&gt;0,TRIM(A119&amp;"")&lt;&gt;"—",LEN(TRIM(B119&amp;""))&gt;0,TRIM(B119&amp;"")&lt;&gt;"—"),"PASS","⚠ FAIL — "&amp;"a required cell is empty/placeholder or wrong type")</f>
        <v>PASS</v>
      </c>
    </row>
    <row r="121" customFormat="false" ht="15" hidden="false" customHeight="false" outlineLevel="0" collapsed="false">
      <c r="A121" s="10" t="s">
        <v>334</v>
      </c>
      <c r="B121" s="38" t="n">
        <f aca="false">B74</f>
        <v>0</v>
      </c>
    </row>
    <row r="122" customFormat="false" ht="15" hidden="false" customHeight="false" outlineLevel="0" collapsed="false">
      <c r="A122" s="10" t="s">
        <v>308</v>
      </c>
      <c r="B122" s="38" t="n">
        <f aca="false">B80</f>
        <v>135095.15</v>
      </c>
    </row>
    <row r="123" customFormat="false" ht="15" hidden="false" customHeight="false" outlineLevel="0" collapsed="false">
      <c r="A123" s="10" t="s">
        <v>310</v>
      </c>
      <c r="B123" s="38" t="n">
        <f aca="false">B81</f>
        <v>-135095.15</v>
      </c>
    </row>
    <row r="125" customFormat="false" ht="24" hidden="false" customHeight="true" outlineLevel="0" collapsed="false">
      <c r="A125" s="1" t="s">
        <v>335</v>
      </c>
      <c r="B125" s="1"/>
      <c r="C125" s="1"/>
      <c r="D125" s="1"/>
      <c r="E125" s="1"/>
      <c r="F125" s="1"/>
      <c r="G125" s="1"/>
      <c r="H125" s="1"/>
    </row>
    <row r="127" customFormat="false" ht="15" hidden="false" customHeight="false" outlineLevel="0" collapsed="false">
      <c r="A127" s="8" t="s">
        <v>336</v>
      </c>
      <c r="B127" s="8"/>
      <c r="C127" s="8"/>
      <c r="D127" s="8"/>
      <c r="E127" s="8"/>
      <c r="F127" s="8"/>
      <c r="G127" s="8"/>
      <c r="H127" s="8"/>
    </row>
    <row r="128" customFormat="false" ht="15" hidden="false" customHeight="false" outlineLevel="0" collapsed="false">
      <c r="A128" s="9" t="s">
        <v>337</v>
      </c>
      <c r="B128" s="9" t="s">
        <v>338</v>
      </c>
      <c r="C128" s="9" t="s">
        <v>339</v>
      </c>
      <c r="D128" s="9" t="s">
        <v>340</v>
      </c>
      <c r="E128" s="9" t="s">
        <v>341</v>
      </c>
      <c r="F128" s="9" t="s">
        <v>342</v>
      </c>
      <c r="G128" s="9" t="s">
        <v>343</v>
      </c>
      <c r="H128" s="9" t="s">
        <v>344</v>
      </c>
      <c r="I128" s="10" t="s">
        <v>20</v>
      </c>
    </row>
    <row r="129" customFormat="false" ht="15" hidden="false" customHeight="false" outlineLevel="0" collapsed="false">
      <c r="A129" s="58" t="n">
        <v>1200</v>
      </c>
      <c r="B129" s="36" t="n">
        <f aca="false">'Inputs &amp; Assumptions'!$B$18*(A129/'Inputs &amp; Assumptions'!$B$5)^'Inputs &amp; Assumptions'!$B$19</f>
        <v>275021</v>
      </c>
      <c r="C129" s="36" t="n">
        <f aca="false">A129*'Inputs &amp; Assumptions'!$B$6</f>
        <v>0</v>
      </c>
      <c r="D129" s="36" t="n">
        <f aca="false">A129*'Inputs &amp; Assumptions'!$B$8*'Inputs &amp; Assumptions'!$B$7+'Inputs &amp; Assumptions'!$B$10*(A129/'Inputs &amp; Assumptions'!$B$5)*'Inputs &amp; Assumptions'!$B$12*'Inputs &amp; Assumptions'!$B$11*'Inputs &amp; Assumptions'!$B$9+'Inputs &amp; Assumptions'!$B$15+B129*'Inputs &amp; Assumptions'!$B$16/100+'Inputs &amp; Assumptions'!$B$17</f>
        <v>69020.63</v>
      </c>
      <c r="E129" s="36" t="n">
        <f aca="false">C129-D129</f>
        <v>-69020.63</v>
      </c>
      <c r="F129" s="59" t="str">
        <f aca="false">IF(E129&gt;0,B129/E129,"n/a")</f>
        <v>n/a</v>
      </c>
      <c r="G129" s="36" t="n">
        <f aca="false">-B129+E129*(1-(1+('Inputs &amp; Assumptions'!$B$20/100))^-'Inputs &amp; Assumptions'!$B$22)/('Inputs &amp; Assumptions'!$B$20/100)</f>
        <v>-862632.53148288</v>
      </c>
      <c r="H129" s="57" t="str">
        <f aca="false">IF(E129&gt;0,IFERROR(MAX(-0.99,RATE('Inputs &amp; Assumptions'!$B$22,E129,-B129,0,0,E129/B129)),-1),"n/a")</f>
        <v>n/a</v>
      </c>
      <c r="I129" s="16" t="str">
        <f aca="false">IF(AND(LEN(TRIM(A129&amp;""))&gt;0,TRIM(A129&amp;"")&lt;&gt;"—",LEN(TRIM(B129&amp;""))&gt;0,TRIM(B129&amp;"")&lt;&gt;"—",LEN(TRIM(C129&amp;""))&gt;0,TRIM(C129&amp;"")&lt;&gt;"—",LEN(TRIM(D129&amp;""))&gt;0,TRIM(D129&amp;"")&lt;&gt;"—",LEN(TRIM(E129&amp;""))&gt;0,TRIM(E129&amp;"")&lt;&gt;"—",LEN(TRIM(F129&amp;""))&gt;0,TRIM(F129&amp;"")&lt;&gt;"—",LEN(TRIM(G129&amp;""))&gt;0,TRIM(G129&amp;"")&lt;&gt;"—",LEN(TRIM(H129&amp;""))&gt;0,TRIM(H129&amp;"")&lt;&gt;"—"),"PASS","⚠ FAIL — "&amp;"a required cell is empty/placeholder or wrong type")</f>
        <v>PASS</v>
      </c>
    </row>
    <row r="130" customFormat="false" ht="15" hidden="false" customHeight="false" outlineLevel="0" collapsed="false">
      <c r="A130" s="58" t="n">
        <v>1487.2269</v>
      </c>
      <c r="B130" s="36" t="n">
        <f aca="false">'Inputs &amp; Assumptions'!$B$18*(A130/'Inputs &amp; Assumptions'!$B$5)^'Inputs &amp; Assumptions'!$B$19</f>
        <v>340848.85772075</v>
      </c>
      <c r="C130" s="36" t="n">
        <f aca="false">A130*'Inputs &amp; Assumptions'!$B$6</f>
        <v>0</v>
      </c>
      <c r="D130" s="36" t="n">
        <f aca="false">A130*'Inputs &amp; Assumptions'!$B$8*'Inputs &amp; Assumptions'!$B$7+'Inputs &amp; Assumptions'!$B$10*(A130/'Inputs &amp; Assumptions'!$B$5)*'Inputs &amp; Assumptions'!$B$12*'Inputs &amp; Assumptions'!$B$11*'Inputs &amp; Assumptions'!$B$9+'Inputs &amp; Assumptions'!$B$15+B130*'Inputs &amp; Assumptions'!$B$16/100+'Inputs &amp; Assumptions'!$B$17</f>
        <v>72974.4590726225</v>
      </c>
      <c r="E130" s="36" t="n">
        <f aca="false">C130-D130</f>
        <v>-72974.4590726225</v>
      </c>
      <c r="F130" s="59" t="str">
        <f aca="false">IF(E130&gt;0,B130/E130,"n/a")</f>
        <v>n/a</v>
      </c>
      <c r="G130" s="36" t="n">
        <f aca="false">-B130+E130*(1-(1+('Inputs &amp; Assumptions'!$B$20/100))^-'Inputs &amp; Assumptions'!$B$22)/('Inputs &amp; Assumptions'!$B$20/100)</f>
        <v>-962121.564950435</v>
      </c>
      <c r="H130" s="57" t="str">
        <f aca="false">IF(E130&gt;0,IFERROR(MAX(-0.99,RATE('Inputs &amp; Assumptions'!$B$22,E130,-B130,0,0,E130/B130)),-1),"n/a")</f>
        <v>n/a</v>
      </c>
      <c r="I130" s="16" t="str">
        <f aca="false">IF(AND(LEN(TRIM(A130&amp;""))&gt;0,TRIM(A130&amp;"")&lt;&gt;"—",LEN(TRIM(B130&amp;""))&gt;0,TRIM(B130&amp;"")&lt;&gt;"—",LEN(TRIM(C130&amp;""))&gt;0,TRIM(C130&amp;"")&lt;&gt;"—",LEN(TRIM(D130&amp;""))&gt;0,TRIM(D130&amp;"")&lt;&gt;"—",LEN(TRIM(E130&amp;""))&gt;0,TRIM(E130&amp;"")&lt;&gt;"—",LEN(TRIM(F130&amp;""))&gt;0,TRIM(F130&amp;"")&lt;&gt;"—",LEN(TRIM(G130&amp;""))&gt;0,TRIM(G130&amp;"")&lt;&gt;"—",LEN(TRIM(H130&amp;""))&gt;0,TRIM(H130&amp;"")&lt;&gt;"—"),"PASS","⚠ FAIL — "&amp;"a required cell is empty/placeholder or wrong type")</f>
        <v>PASS</v>
      </c>
    </row>
    <row r="131" customFormat="false" ht="15" hidden="false" customHeight="false" outlineLevel="0" collapsed="false">
      <c r="A131" s="58" t="n">
        <v>1843.2033</v>
      </c>
      <c r="B131" s="36" t="n">
        <f aca="false">'Inputs &amp; Assumptions'!$B$18*(A131/'Inputs &amp; Assumptions'!$B$5)^'Inputs &amp; Assumptions'!$B$19</f>
        <v>422433.01230775</v>
      </c>
      <c r="C131" s="36" t="n">
        <f aca="false">A131*'Inputs &amp; Assumptions'!$B$6</f>
        <v>0</v>
      </c>
      <c r="D131" s="36" t="n">
        <f aca="false">A131*'Inputs &amp; Assumptions'!$B$8*'Inputs &amp; Assumptions'!$B$7+'Inputs &amp; Assumptions'!$B$10*(A131/'Inputs &amp; Assumptions'!$B$5)*'Inputs &amp; Assumptions'!$B$12*'Inputs &amp; Assumptions'!$B$11*'Inputs &amp; Assumptions'!$B$9+'Inputs &amp; Assumptions'!$B$15+B131*'Inputs &amp; Assumptions'!$B$16/100+'Inputs &amp; Assumptions'!$B$17</f>
        <v>77874.6611062325</v>
      </c>
      <c r="E131" s="36" t="n">
        <f aca="false">C131-D131</f>
        <v>-77874.6611062325</v>
      </c>
      <c r="F131" s="59" t="str">
        <f aca="false">IF(E131&gt;0,B131/E131,"n/a")</f>
        <v>n/a</v>
      </c>
      <c r="G131" s="36" t="n">
        <f aca="false">-B131+E131*(1-(1+('Inputs &amp; Assumptions'!$B$20/100))^-'Inputs &amp; Assumptions'!$B$22)/('Inputs &amp; Assumptions'!$B$20/100)</f>
        <v>-1085423.90179026</v>
      </c>
      <c r="H131" s="57" t="str">
        <f aca="false">IF(E131&gt;0,IFERROR(MAX(-0.99,RATE('Inputs &amp; Assumptions'!$B$22,E131,-B131,0,0,E131/B131)),-1),"n/a")</f>
        <v>n/a</v>
      </c>
      <c r="I131" s="16" t="str">
        <f aca="false">IF(AND(LEN(TRIM(A131&amp;""))&gt;0,TRIM(A131&amp;"")&lt;&gt;"—",LEN(TRIM(B131&amp;""))&gt;0,TRIM(B131&amp;"")&lt;&gt;"—",LEN(TRIM(C131&amp;""))&gt;0,TRIM(C131&amp;"")&lt;&gt;"—",LEN(TRIM(D131&amp;""))&gt;0,TRIM(D131&amp;"")&lt;&gt;"—",LEN(TRIM(E131&amp;""))&gt;0,TRIM(E131&amp;"")&lt;&gt;"—",LEN(TRIM(F131&amp;""))&gt;0,TRIM(F131&amp;"")&lt;&gt;"—",LEN(TRIM(G131&amp;""))&gt;0,TRIM(G131&amp;"")&lt;&gt;"—",LEN(TRIM(H131&amp;""))&gt;0,TRIM(H131&amp;"")&lt;&gt;"—"),"PASS","⚠ FAIL — "&amp;"a required cell is empty/placeholder or wrong type")</f>
        <v>PASS</v>
      </c>
    </row>
    <row r="132" customFormat="false" ht="15" hidden="false" customHeight="false" outlineLevel="0" collapsed="false">
      <c r="A132" s="58" t="n">
        <v>2284.3847</v>
      </c>
      <c r="B132" s="36" t="n">
        <f aca="false">'Inputs &amp; Assumptions'!$B$18*(A132/'Inputs &amp; Assumptions'!$B$5)^'Inputs &amp; Assumptions'!$B$19</f>
        <v>523544.803815583</v>
      </c>
      <c r="C132" s="36" t="n">
        <f aca="false">A132*'Inputs &amp; Assumptions'!$B$6</f>
        <v>0</v>
      </c>
      <c r="D132" s="36" t="n">
        <f aca="false">A132*'Inputs &amp; Assumptions'!$B$8*'Inputs &amp; Assumptions'!$B$7+'Inputs &amp; Assumptions'!$B$10*(A132/'Inputs &amp; Assumptions'!$B$5)*'Inputs &amp; Assumptions'!$B$12*'Inputs &amp; Assumptions'!$B$11*'Inputs &amp; Assumptions'!$B$9+'Inputs &amp; Assumptions'!$B$15+B132*'Inputs &amp; Assumptions'!$B$16/100+'Inputs &amp; Assumptions'!$B$17</f>
        <v>83947.7546974675</v>
      </c>
      <c r="E132" s="36" t="n">
        <f aca="false">C132-D132</f>
        <v>-83947.7546974675</v>
      </c>
      <c r="F132" s="59" t="str">
        <f aca="false">IF(E132&gt;0,B132/E132,"n/a")</f>
        <v>n/a</v>
      </c>
      <c r="G132" s="36" t="n">
        <f aca="false">-B132+E132*(1-(1+('Inputs &amp; Assumptions'!$B$20/100))^-'Inputs &amp; Assumptions'!$B$22)/('Inputs &amp; Assumptions'!$B$20/100)</f>
        <v>-1238239.36256313</v>
      </c>
      <c r="H132" s="57" t="str">
        <f aca="false">IF(E132&gt;0,IFERROR(MAX(-0.99,RATE('Inputs &amp; Assumptions'!$B$22,E132,-B132,0,0,E132/B132)),-1),"n/a")</f>
        <v>n/a</v>
      </c>
      <c r="I132" s="16" t="str">
        <f aca="false">IF(AND(LEN(TRIM(A132&amp;""))&gt;0,TRIM(A132&amp;"")&lt;&gt;"—",LEN(TRIM(B132&amp;""))&gt;0,TRIM(B132&amp;"")&lt;&gt;"—",LEN(TRIM(C132&amp;""))&gt;0,TRIM(C132&amp;"")&lt;&gt;"—",LEN(TRIM(D132&amp;""))&gt;0,TRIM(D132&amp;"")&lt;&gt;"—",LEN(TRIM(E132&amp;""))&gt;0,TRIM(E132&amp;"")&lt;&gt;"—",LEN(TRIM(F132&amp;""))&gt;0,TRIM(F132&amp;"")&lt;&gt;"—",LEN(TRIM(G132&amp;""))&gt;0,TRIM(G132&amp;"")&lt;&gt;"—",LEN(TRIM(H132&amp;""))&gt;0,TRIM(H132&amp;"")&lt;&gt;"—"),"PASS","⚠ FAIL — "&amp;"a required cell is empty/placeholder or wrong type")</f>
        <v>PASS</v>
      </c>
    </row>
    <row r="133" customFormat="false" ht="15" hidden="false" customHeight="false" outlineLevel="0" collapsed="false">
      <c r="A133" s="58" t="n">
        <v>2831.1654</v>
      </c>
      <c r="B133" s="36" t="n">
        <f aca="false">'Inputs &amp; Assumptions'!$B$18*(A133/'Inputs &amp; Assumptions'!$B$5)^'Inputs &amp; Assumptions'!$B$19</f>
        <v>648858.2828945</v>
      </c>
      <c r="C133" s="36" t="n">
        <f aca="false">A133*'Inputs &amp; Assumptions'!$B$6</f>
        <v>0</v>
      </c>
      <c r="D133" s="36" t="n">
        <f aca="false">A133*'Inputs &amp; Assumptions'!$B$8*'Inputs &amp; Assumptions'!$B$7+'Inputs &amp; Assumptions'!$B$10*(A133/'Inputs &amp; Assumptions'!$B$5)*'Inputs &amp; Assumptions'!$B$12*'Inputs &amp; Assumptions'!$B$11*'Inputs &amp; Assumptions'!$B$9+'Inputs &amp; Assumptions'!$B$15+B133*'Inputs &amp; Assumptions'!$B$16/100+'Inputs &amp; Assumptions'!$B$17</f>
        <v>91474.478092835</v>
      </c>
      <c r="E133" s="36" t="n">
        <f aca="false">C133-D133</f>
        <v>-91474.478092835</v>
      </c>
      <c r="F133" s="59" t="str">
        <f aca="false">IF(E133&gt;0,B133/E133,"n/a")</f>
        <v>n/a</v>
      </c>
      <c r="G133" s="36" t="n">
        <f aca="false">-B133+E133*(1-(1+('Inputs &amp; Assumptions'!$B$20/100))^-'Inputs &amp; Assumptions'!$B$22)/('Inputs &amp; Assumptions'!$B$20/100)</f>
        <v>-1427632.08086951</v>
      </c>
      <c r="H133" s="57" t="str">
        <f aca="false">IF(E133&gt;0,IFERROR(MAX(-0.99,RATE('Inputs &amp; Assumptions'!$B$22,E133,-B133,0,0,E133/B133)),-1),"n/a")</f>
        <v>n/a</v>
      </c>
      <c r="I133" s="16" t="str">
        <f aca="false">IF(AND(LEN(TRIM(A133&amp;""))&gt;0,TRIM(A133&amp;"")&lt;&gt;"—",LEN(TRIM(B133&amp;""))&gt;0,TRIM(B133&amp;"")&lt;&gt;"—",LEN(TRIM(C133&amp;""))&gt;0,TRIM(C133&amp;"")&lt;&gt;"—",LEN(TRIM(D133&amp;""))&gt;0,TRIM(D133&amp;"")&lt;&gt;"—",LEN(TRIM(E133&amp;""))&gt;0,TRIM(E133&amp;"")&lt;&gt;"—",LEN(TRIM(F133&amp;""))&gt;0,TRIM(F133&amp;"")&lt;&gt;"—",LEN(TRIM(G133&amp;""))&gt;0,TRIM(G133&amp;"")&lt;&gt;"—",LEN(TRIM(H133&amp;""))&gt;0,TRIM(H133&amp;"")&lt;&gt;"—"),"PASS","⚠ FAIL — "&amp;"a required cell is empty/placeholder or wrong type")</f>
        <v>PASS</v>
      </c>
    </row>
    <row r="134" customFormat="false" ht="15" hidden="false" customHeight="false" outlineLevel="0" collapsed="false">
      <c r="A134" s="58" t="n">
        <v>3508.8213</v>
      </c>
      <c r="B134" s="36" t="n">
        <f aca="false">'Inputs &amp; Assumptions'!$B$18*(A134/'Inputs &amp; Assumptions'!$B$5)^'Inputs &amp; Assumptions'!$B$19</f>
        <v>804166.28562275</v>
      </c>
      <c r="C134" s="36" t="n">
        <f aca="false">A134*'Inputs &amp; Assumptions'!$B$6</f>
        <v>0</v>
      </c>
      <c r="D134" s="36" t="n">
        <f aca="false">A134*'Inputs &amp; Assumptions'!$B$8*'Inputs &amp; Assumptions'!$B$7+'Inputs &amp; Assumptions'!$B$10*(A134/'Inputs &amp; Assumptions'!$B$5)*'Inputs &amp; Assumptions'!$B$12*'Inputs &amp; Assumptions'!$B$11*'Inputs &amp; Assumptions'!$B$9+'Inputs &amp; Assumptions'!$B$15+B134*'Inputs &amp; Assumptions'!$B$16/100+'Inputs &amp; Assumptions'!$B$17</f>
        <v>100802.767325683</v>
      </c>
      <c r="E134" s="36" t="n">
        <f aca="false">C134-D134</f>
        <v>-100802.767325683</v>
      </c>
      <c r="F134" s="59" t="str">
        <f aca="false">IF(E134&gt;0,B134/E134,"n/a")</f>
        <v>n/a</v>
      </c>
      <c r="G134" s="36" t="n">
        <f aca="false">-B134+E134*(1-(1+('Inputs &amp; Assumptions'!$B$20/100))^-'Inputs &amp; Assumptions'!$B$22)/('Inputs &amp; Assumptions'!$B$20/100)</f>
        <v>-1662357.06837794</v>
      </c>
      <c r="H134" s="57" t="str">
        <f aca="false">IF(E134&gt;0,IFERROR(MAX(-0.99,RATE('Inputs &amp; Assumptions'!$B$22,E134,-B134,0,0,E134/B134)),-1),"n/a")</f>
        <v>n/a</v>
      </c>
      <c r="I134" s="16" t="str">
        <f aca="false">IF(AND(LEN(TRIM(A134&amp;""))&gt;0,TRIM(A134&amp;"")&lt;&gt;"—",LEN(TRIM(B134&amp;""))&gt;0,TRIM(B134&amp;"")&lt;&gt;"—",LEN(TRIM(C134&amp;""))&gt;0,TRIM(C134&amp;"")&lt;&gt;"—",LEN(TRIM(D134&amp;""))&gt;0,TRIM(D134&amp;"")&lt;&gt;"—",LEN(TRIM(E134&amp;""))&gt;0,TRIM(E134&amp;"")&lt;&gt;"—",LEN(TRIM(F134&amp;""))&gt;0,TRIM(F134&amp;"")&lt;&gt;"—",LEN(TRIM(G134&amp;""))&gt;0,TRIM(G134&amp;"")&lt;&gt;"—",LEN(TRIM(H134&amp;""))&gt;0,TRIM(H134&amp;"")&lt;&gt;"—"),"PASS","⚠ FAIL — "&amp;"a required cell is empty/placeholder or wrong type")</f>
        <v>PASS</v>
      </c>
    </row>
    <row r="135" customFormat="false" ht="15" hidden="false" customHeight="false" outlineLevel="0" collapsed="false">
      <c r="A135" s="58" t="n">
        <v>4348.678</v>
      </c>
      <c r="B135" s="36" t="n">
        <f aca="false">'Inputs &amp; Assumptions'!$B$18*(A135/'Inputs &amp; Assumptions'!$B$5)^'Inputs &amp; Assumptions'!$B$19</f>
        <v>996648.143531667</v>
      </c>
      <c r="C135" s="36" t="n">
        <f aca="false">A135*'Inputs &amp; Assumptions'!$B$6</f>
        <v>0</v>
      </c>
      <c r="D135" s="36" t="n">
        <f aca="false">A135*'Inputs &amp; Assumptions'!$B$8*'Inputs &amp; Assumptions'!$B$7+'Inputs &amp; Assumptions'!$B$10*(A135/'Inputs &amp; Assumptions'!$B$5)*'Inputs &amp; Assumptions'!$B$12*'Inputs &amp; Assumptions'!$B$11*'Inputs &amp; Assumptions'!$B$9+'Inputs &amp; Assumptions'!$B$15+B135*'Inputs &amp; Assumptions'!$B$16/100+'Inputs &amp; Assumptions'!$B$17</f>
        <v>112363.83572595</v>
      </c>
      <c r="E135" s="36" t="n">
        <f aca="false">C135-D135</f>
        <v>-112363.83572595</v>
      </c>
      <c r="F135" s="59" t="str">
        <f aca="false">IF(E135&gt;0,B135/E135,"n/a")</f>
        <v>n/a</v>
      </c>
      <c r="G135" s="36" t="n">
        <f aca="false">-B135+E135*(1-(1+('Inputs &amp; Assumptions'!$B$20/100))^-'Inputs &amp; Assumptions'!$B$22)/('Inputs &amp; Assumptions'!$B$20/100)</f>
        <v>-1953264.81878103</v>
      </c>
      <c r="H135" s="57" t="str">
        <f aca="false">IF(E135&gt;0,IFERROR(MAX(-0.99,RATE('Inputs &amp; Assumptions'!$B$22,E135,-B135,0,0,E135/B135)),-1),"n/a")</f>
        <v>n/a</v>
      </c>
      <c r="I135" s="16" t="str">
        <f aca="false">IF(AND(LEN(TRIM(A135&amp;""))&gt;0,TRIM(A135&amp;"")&lt;&gt;"—",LEN(TRIM(B135&amp;""))&gt;0,TRIM(B135&amp;"")&lt;&gt;"—",LEN(TRIM(C135&amp;""))&gt;0,TRIM(C135&amp;"")&lt;&gt;"—",LEN(TRIM(D135&amp;""))&gt;0,TRIM(D135&amp;"")&lt;&gt;"—",LEN(TRIM(E135&amp;""))&gt;0,TRIM(E135&amp;"")&lt;&gt;"—",LEN(TRIM(F135&amp;""))&gt;0,TRIM(F135&amp;"")&lt;&gt;"—",LEN(TRIM(G135&amp;""))&gt;0,TRIM(G135&amp;"")&lt;&gt;"—",LEN(TRIM(H135&amp;""))&gt;0,TRIM(H135&amp;"")&lt;&gt;"—"),"PASS","⚠ FAIL — "&amp;"a required cell is empty/placeholder or wrong type")</f>
        <v>PASS</v>
      </c>
    </row>
    <row r="136" customFormat="false" ht="15" hidden="false" customHeight="false" outlineLevel="0" collapsed="false">
      <c r="A136" s="58" t="n">
        <v>5389.5592</v>
      </c>
      <c r="B136" s="36" t="n">
        <f aca="false">'Inputs &amp; Assumptions'!$B$18*(A136/'Inputs &amp; Assumptions'!$B$5)^'Inputs &amp; Assumptions'!$B$19</f>
        <v>1235201.63395267</v>
      </c>
      <c r="C136" s="36" t="n">
        <f aca="false">A136*'Inputs &amp; Assumptions'!$B$6</f>
        <v>0</v>
      </c>
      <c r="D136" s="36" t="n">
        <f aca="false">A136*'Inputs &amp; Assumptions'!$B$8*'Inputs &amp; Assumptions'!$B$7+'Inputs &amp; Assumptions'!$B$10*(A136/'Inputs &amp; Assumptions'!$B$5)*'Inputs &amp; Assumptions'!$B$12*'Inputs &amp; Assumptions'!$B$11*'Inputs &amp; Assumptions'!$B$9+'Inputs &amp; Assumptions'!$B$15+B136*'Inputs &amp; Assumptions'!$B$16/100+'Inputs &amp; Assumptions'!$B$17</f>
        <v>126692.11190658</v>
      </c>
      <c r="E136" s="36" t="n">
        <f aca="false">C136-D136</f>
        <v>-126692.11190658</v>
      </c>
      <c r="F136" s="59" t="str">
        <f aca="false">IF(E136&gt;0,B136/E136,"n/a")</f>
        <v>n/a</v>
      </c>
      <c r="G136" s="36" t="n">
        <f aca="false">-B136+E136*(1-(1+('Inputs &amp; Assumptions'!$B$20/100))^-'Inputs &amp; Assumptions'!$B$22)/('Inputs &amp; Assumptions'!$B$20/100)</f>
        <v>-2313803.00146012</v>
      </c>
      <c r="H136" s="57" t="str">
        <f aca="false">IF(E136&gt;0,IFERROR(MAX(-0.99,RATE('Inputs &amp; Assumptions'!$B$22,E136,-B136,0,0,E136/B136)),-1),"n/a")</f>
        <v>n/a</v>
      </c>
      <c r="I136" s="16" t="str">
        <f aca="false">IF(AND(LEN(TRIM(A136&amp;""))&gt;0,TRIM(A136&amp;"")&lt;&gt;"—",LEN(TRIM(B136&amp;""))&gt;0,TRIM(B136&amp;"")&lt;&gt;"—",LEN(TRIM(C136&amp;""))&gt;0,TRIM(C136&amp;"")&lt;&gt;"—",LEN(TRIM(D136&amp;""))&gt;0,TRIM(D136&amp;"")&lt;&gt;"—",LEN(TRIM(E136&amp;""))&gt;0,TRIM(E136&amp;"")&lt;&gt;"—",LEN(TRIM(F136&amp;""))&gt;0,TRIM(F136&amp;"")&lt;&gt;"—",LEN(TRIM(G136&amp;""))&gt;0,TRIM(G136&amp;"")&lt;&gt;"—",LEN(TRIM(H136&amp;""))&gt;0,TRIM(H136&amp;"")&lt;&gt;"—"),"PASS","⚠ FAIL — "&amp;"a required cell is empty/placeholder or wrong type")</f>
        <v>PASS</v>
      </c>
    </row>
    <row r="137" customFormat="false" ht="15" hidden="false" customHeight="false" outlineLevel="0" collapsed="false">
      <c r="A137" s="58" t="n">
        <v>6679.5815</v>
      </c>
      <c r="B137" s="36" t="n">
        <f aca="false">'Inputs &amp; Assumptions'!$B$18*(A137/'Inputs &amp; Assumptions'!$B$5)^'Inputs &amp; Assumptions'!$B$19</f>
        <v>1530854.31975958</v>
      </c>
      <c r="C137" s="36" t="n">
        <f aca="false">A137*'Inputs &amp; Assumptions'!$B$6</f>
        <v>0</v>
      </c>
      <c r="D137" s="36" t="n">
        <f aca="false">A137*'Inputs &amp; Assumptions'!$B$8*'Inputs &amp; Assumptions'!$B$7+'Inputs &amp; Assumptions'!$B$10*(A137/'Inputs &amp; Assumptions'!$B$5)*'Inputs &amp; Assumptions'!$B$12*'Inputs &amp; Assumptions'!$B$11*'Inputs &amp; Assumptions'!$B$9+'Inputs &amp; Assumptions'!$B$15+B137*'Inputs &amp; Assumptions'!$B$16/100+'Inputs &amp; Assumptions'!$B$17</f>
        <v>144449.946127788</v>
      </c>
      <c r="E137" s="36" t="n">
        <f aca="false">C137-D137</f>
        <v>-144449.946127788</v>
      </c>
      <c r="F137" s="59" t="str">
        <f aca="false">IF(E137&gt;0,B137/E137,"n/a")</f>
        <v>n/a</v>
      </c>
      <c r="G137" s="36" t="n">
        <f aca="false">-B137+E137*(1-(1+('Inputs &amp; Assumptions'!$B$20/100))^-'Inputs &amp; Assumptions'!$B$22)/('Inputs &amp; Assumptions'!$B$20/100)</f>
        <v>-2760638.14043419</v>
      </c>
      <c r="H137" s="57" t="str">
        <f aca="false">IF(E137&gt;0,IFERROR(MAX(-0.99,RATE('Inputs &amp; Assumptions'!$B$22,E137,-B137,0,0,E137/B137)),-1),"n/a")</f>
        <v>n/a</v>
      </c>
      <c r="I137" s="16" t="str">
        <f aca="false">IF(AND(LEN(TRIM(A137&amp;""))&gt;0,TRIM(A137&amp;"")&lt;&gt;"—",LEN(TRIM(B137&amp;""))&gt;0,TRIM(B137&amp;"")&lt;&gt;"—",LEN(TRIM(C137&amp;""))&gt;0,TRIM(C137&amp;"")&lt;&gt;"—",LEN(TRIM(D137&amp;""))&gt;0,TRIM(D137&amp;"")&lt;&gt;"—",LEN(TRIM(E137&amp;""))&gt;0,TRIM(E137&amp;"")&lt;&gt;"—",LEN(TRIM(F137&amp;""))&gt;0,TRIM(F137&amp;"")&lt;&gt;"—",LEN(TRIM(G137&amp;""))&gt;0,TRIM(G137&amp;"")&lt;&gt;"—",LEN(TRIM(H137&amp;""))&gt;0,TRIM(H137&amp;"")&lt;&gt;"—"),"PASS","⚠ FAIL — "&amp;"a required cell is empty/placeholder or wrong type")</f>
        <v>PASS</v>
      </c>
    </row>
    <row r="138" customFormat="false" ht="15" hidden="false" customHeight="false" outlineLevel="0" collapsed="false">
      <c r="A138" s="58" t="n">
        <v>8278.378</v>
      </c>
      <c r="B138" s="36" t="n">
        <f aca="false">'Inputs &amp; Assumptions'!$B$18*(A138/'Inputs &amp; Assumptions'!$B$5)^'Inputs &amp; Assumptions'!$B$19</f>
        <v>1897273.16328167</v>
      </c>
      <c r="C138" s="36" t="n">
        <f aca="false">A138*'Inputs &amp; Assumptions'!$B$6</f>
        <v>0</v>
      </c>
      <c r="D138" s="36" t="n">
        <f aca="false">A138*'Inputs &amp; Assumptions'!$B$8*'Inputs &amp; Assumptions'!$B$7+'Inputs &amp; Assumptions'!$B$10*(A138/'Inputs &amp; Assumptions'!$B$5)*'Inputs &amp; Assumptions'!$B$12*'Inputs &amp; Assumptions'!$B$11*'Inputs &amp; Assumptions'!$B$9+'Inputs &amp; Assumptions'!$B$15+B138*'Inputs &amp; Assumptions'!$B$16/100+'Inputs &amp; Assumptions'!$B$17</f>
        <v>166458.21931845</v>
      </c>
      <c r="E138" s="36" t="n">
        <f aca="false">C138-D138</f>
        <v>-166458.21931845</v>
      </c>
      <c r="F138" s="59" t="str">
        <f aca="false">IF(E138&gt;0,B138/E138,"n/a")</f>
        <v>n/a</v>
      </c>
      <c r="G138" s="36" t="n">
        <f aca="false">-B138+E138*(1-(1+('Inputs &amp; Assumptions'!$B$20/100))^-'Inputs &amp; Assumptions'!$B$22)/('Inputs &amp; Assumptions'!$B$20/100)</f>
        <v>-3314425.82012684</v>
      </c>
      <c r="H138" s="57" t="str">
        <f aca="false">IF(E138&gt;0,IFERROR(MAX(-0.99,RATE('Inputs &amp; Assumptions'!$B$22,E138,-B138,0,0,E138/B138)),-1),"n/a")</f>
        <v>n/a</v>
      </c>
      <c r="I138" s="16" t="str">
        <f aca="false">IF(AND(LEN(TRIM(A138&amp;""))&gt;0,TRIM(A138&amp;"")&lt;&gt;"—",LEN(TRIM(B138&amp;""))&gt;0,TRIM(B138&amp;"")&lt;&gt;"—",LEN(TRIM(C138&amp;""))&gt;0,TRIM(C138&amp;"")&lt;&gt;"—",LEN(TRIM(D138&amp;""))&gt;0,TRIM(D138&amp;"")&lt;&gt;"—",LEN(TRIM(E138&amp;""))&gt;0,TRIM(E138&amp;"")&lt;&gt;"—",LEN(TRIM(F138&amp;""))&gt;0,TRIM(F138&amp;"")&lt;&gt;"—",LEN(TRIM(G138&amp;""))&gt;0,TRIM(G138&amp;"")&lt;&gt;"—",LEN(TRIM(H138&amp;""))&gt;0,TRIM(H138&amp;"")&lt;&gt;"—"),"PASS","⚠ FAIL — "&amp;"a required cell is empty/placeholder or wrong type")</f>
        <v>PASS</v>
      </c>
    </row>
    <row r="139" customFormat="false" ht="15" hidden="false" customHeight="false" outlineLevel="0" collapsed="false">
      <c r="A139" s="58" t="n">
        <v>10259.8557</v>
      </c>
      <c r="B139" s="36" t="n">
        <f aca="false">'Inputs &amp; Assumptions'!$B$18*(A139/'Inputs &amp; Assumptions'!$B$5)^'Inputs &amp; Assumptions'!$B$19</f>
        <v>2351396.47872475</v>
      </c>
      <c r="C139" s="36" t="n">
        <f aca="false">A139*'Inputs &amp; Assumptions'!$B$6</f>
        <v>0</v>
      </c>
      <c r="D139" s="36" t="n">
        <f aca="false">A139*'Inputs &amp; Assumptions'!$B$8*'Inputs &amp; Assumptions'!$B$7+'Inputs &amp; Assumptions'!$B$10*(A139/'Inputs &amp; Assumptions'!$B$5)*'Inputs &amp; Assumptions'!$B$12*'Inputs &amp; Assumptions'!$B$11*'Inputs &amp; Assumptions'!$B$9+'Inputs &amp; Assumptions'!$B$15+B139*'Inputs &amp; Assumptions'!$B$16/100+'Inputs &amp; Assumptions'!$B$17</f>
        <v>193734.300134743</v>
      </c>
      <c r="E139" s="36" t="n">
        <f aca="false">C139-D139</f>
        <v>-193734.300134743</v>
      </c>
      <c r="F139" s="59" t="str">
        <f aca="false">IF(E139&gt;0,B139/E139,"n/a")</f>
        <v>n/a</v>
      </c>
      <c r="G139" s="36" t="n">
        <f aca="false">-B139+E139*(1-(1+('Inputs &amp; Assumptions'!$B$20/100))^-'Inputs &amp; Assumptions'!$B$22)/('Inputs &amp; Assumptions'!$B$20/100)</f>
        <v>-4000765.78762471</v>
      </c>
      <c r="H139" s="57" t="str">
        <f aca="false">IF(E139&gt;0,IFERROR(MAX(-0.99,RATE('Inputs &amp; Assumptions'!$B$22,E139,-B139,0,0,E139/B139)),-1),"n/a")</f>
        <v>n/a</v>
      </c>
      <c r="I139" s="16" t="str">
        <f aca="false">IF(AND(LEN(TRIM(A139&amp;""))&gt;0,TRIM(A139&amp;"")&lt;&gt;"—",LEN(TRIM(B139&amp;""))&gt;0,TRIM(B139&amp;"")&lt;&gt;"—",LEN(TRIM(C139&amp;""))&gt;0,TRIM(C139&amp;"")&lt;&gt;"—",LEN(TRIM(D139&amp;""))&gt;0,TRIM(D139&amp;"")&lt;&gt;"—",LEN(TRIM(E139&amp;""))&gt;0,TRIM(E139&amp;"")&lt;&gt;"—",LEN(TRIM(F139&amp;""))&gt;0,TRIM(F139&amp;"")&lt;&gt;"—",LEN(TRIM(G139&amp;""))&gt;0,TRIM(G139&amp;"")&lt;&gt;"—",LEN(TRIM(H139&amp;""))&gt;0,TRIM(H139&amp;"")&lt;&gt;"—"),"PASS","⚠ FAIL — "&amp;"a required cell is empty/placeholder or wrong type")</f>
        <v>PASS</v>
      </c>
    </row>
    <row r="140" customFormat="false" ht="15" hidden="false" customHeight="false" outlineLevel="0" collapsed="false">
      <c r="A140" s="58" t="n">
        <v>12715.6116</v>
      </c>
      <c r="B140" s="36" t="n">
        <f aca="false">'Inputs &amp; Assumptions'!$B$18*(A140/'Inputs &amp; Assumptions'!$B$5)^'Inputs &amp; Assumptions'!$B$19</f>
        <v>2914216.848203</v>
      </c>
      <c r="C140" s="36" t="n">
        <f aca="false">A140*'Inputs &amp; Assumptions'!$B$6</f>
        <v>0</v>
      </c>
      <c r="D140" s="36" t="n">
        <f aca="false">A140*'Inputs &amp; Assumptions'!$B$8*'Inputs &amp; Assumptions'!$B$7+'Inputs &amp; Assumptions'!$B$10*(A140/'Inputs &amp; Assumptions'!$B$5)*'Inputs &amp; Assumptions'!$B$12*'Inputs &amp; Assumptions'!$B$11*'Inputs &amp; Assumptions'!$B$9+'Inputs &amp; Assumptions'!$B$15+B140*'Inputs &amp; Assumptions'!$B$16/100+'Inputs &amp; Assumptions'!$B$17</f>
        <v>227539.06937009</v>
      </c>
      <c r="E140" s="36" t="n">
        <f aca="false">C140-D140</f>
        <v>-227539.06937009</v>
      </c>
      <c r="F140" s="59" t="str">
        <f aca="false">IF(E140&gt;0,B140/E140,"n/a")</f>
        <v>n/a</v>
      </c>
      <c r="G140" s="36" t="n">
        <f aca="false">-B140+E140*(1-(1+('Inputs &amp; Assumptions'!$B$20/100))^-'Inputs &amp; Assumptions'!$B$22)/('Inputs &amp; Assumptions'!$B$20/100)</f>
        <v>-4851385.21401983</v>
      </c>
      <c r="H140" s="57" t="str">
        <f aca="false">IF(E140&gt;0,IFERROR(MAX(-0.99,RATE('Inputs &amp; Assumptions'!$B$22,E140,-B140,0,0,E140/B140)),-1),"n/a")</f>
        <v>n/a</v>
      </c>
      <c r="I140" s="16" t="str">
        <f aca="false">IF(AND(LEN(TRIM(A140&amp;""))&gt;0,TRIM(A140&amp;"")&lt;&gt;"—",LEN(TRIM(B140&amp;""))&gt;0,TRIM(B140&amp;"")&lt;&gt;"—",LEN(TRIM(C140&amp;""))&gt;0,TRIM(C140&amp;"")&lt;&gt;"—",LEN(TRIM(D140&amp;""))&gt;0,TRIM(D140&amp;"")&lt;&gt;"—",LEN(TRIM(E140&amp;""))&gt;0,TRIM(E140&amp;"")&lt;&gt;"—",LEN(TRIM(F140&amp;""))&gt;0,TRIM(F140&amp;"")&lt;&gt;"—",LEN(TRIM(G140&amp;""))&gt;0,TRIM(G140&amp;"")&lt;&gt;"—",LEN(TRIM(H140&amp;""))&gt;0,TRIM(H140&amp;"")&lt;&gt;"—"),"PASS","⚠ FAIL — "&amp;"a required cell is empty/placeholder or wrong type")</f>
        <v>PASS</v>
      </c>
    </row>
    <row r="141" customFormat="false" ht="15" hidden="false" customHeight="false" outlineLevel="0" collapsed="false">
      <c r="A141" s="58" t="n">
        <v>15759.1668</v>
      </c>
      <c r="B141" s="36" t="n">
        <f aca="false">'Inputs &amp; Assumptions'!$B$18*(A141/'Inputs &amp; Assumptions'!$B$5)^'Inputs &amp; Assumptions'!$B$19</f>
        <v>3611751.510419</v>
      </c>
      <c r="C141" s="36" t="n">
        <f aca="false">A141*'Inputs &amp; Assumptions'!$B$6</f>
        <v>0</v>
      </c>
      <c r="D141" s="36" t="n">
        <f aca="false">A141*'Inputs &amp; Assumptions'!$B$8*'Inputs &amp; Assumptions'!$B$7+'Inputs &amp; Assumptions'!$B$10*(A141/'Inputs &amp; Assumptions'!$B$5)*'Inputs &amp; Assumptions'!$B$12*'Inputs &amp; Assumptions'!$B$11*'Inputs &amp; Assumptions'!$B$9+'Inputs &amp; Assumptions'!$B$15+B141*'Inputs &amp; Assumptions'!$B$16/100+'Inputs &amp; Assumptions'!$B$17</f>
        <v>269435.20456457</v>
      </c>
      <c r="E141" s="36" t="n">
        <f aca="false">C141-D141</f>
        <v>-269435.20456457</v>
      </c>
      <c r="F141" s="59" t="str">
        <f aca="false">IF(E141&gt;0,B141/E141,"n/a")</f>
        <v>n/a</v>
      </c>
      <c r="G141" s="36" t="n">
        <f aca="false">-B141+E141*(1-(1+('Inputs &amp; Assumptions'!$B$20/100))^-'Inputs &amp; Assumptions'!$B$22)/('Inputs &amp; Assumptions'!$B$20/100)</f>
        <v>-5905605.29282565</v>
      </c>
      <c r="H141" s="57" t="str">
        <f aca="false">IF(E141&gt;0,IFERROR(MAX(-0.99,RATE('Inputs &amp; Assumptions'!$B$22,E141,-B141,0,0,E141/B141)),-1),"n/a")</f>
        <v>n/a</v>
      </c>
      <c r="I141" s="16" t="str">
        <f aca="false">IF(AND(LEN(TRIM(A141&amp;""))&gt;0,TRIM(A141&amp;"")&lt;&gt;"—",LEN(TRIM(B141&amp;""))&gt;0,TRIM(B141&amp;"")&lt;&gt;"—",LEN(TRIM(C141&amp;""))&gt;0,TRIM(C141&amp;"")&lt;&gt;"—",LEN(TRIM(D141&amp;""))&gt;0,TRIM(D141&amp;"")&lt;&gt;"—",LEN(TRIM(E141&amp;""))&gt;0,TRIM(E141&amp;"")&lt;&gt;"—",LEN(TRIM(F141&amp;""))&gt;0,TRIM(F141&amp;"")&lt;&gt;"—",LEN(TRIM(G141&amp;""))&gt;0,TRIM(G141&amp;"")&lt;&gt;"—",LEN(TRIM(H141&amp;""))&gt;0,TRIM(H141&amp;"")&lt;&gt;"—"),"PASS","⚠ FAIL — "&amp;"a required cell is empty/placeholder or wrong type")</f>
        <v>PASS</v>
      </c>
    </row>
    <row r="142" customFormat="false" ht="15" hidden="false" customHeight="false" outlineLevel="0" collapsed="false">
      <c r="A142" s="58" t="n">
        <v>19531.2147</v>
      </c>
      <c r="B142" s="36" t="n">
        <f aca="false">'Inputs &amp; Assumptions'!$B$18*(A142/'Inputs &amp; Assumptions'!$B$5)^'Inputs &amp; Assumptions'!$B$19</f>
        <v>4476245.16500725</v>
      </c>
      <c r="C142" s="36" t="n">
        <f aca="false">A142*'Inputs &amp; Assumptions'!$B$6</f>
        <v>0</v>
      </c>
      <c r="D142" s="36" t="n">
        <f aca="false">A142*'Inputs &amp; Assumptions'!$B$8*'Inputs &amp; Assumptions'!$B$7+'Inputs &amp; Assumptions'!$B$10*(A142/'Inputs &amp; Assumptions'!$B$5)*'Inputs &amp; Assumptions'!$B$12*'Inputs &amp; Assumptions'!$B$11*'Inputs &amp; Assumptions'!$B$9+'Inputs &amp; Assumptions'!$B$15+B142*'Inputs &amp; Assumptions'!$B$16/100+'Inputs &amp; Assumptions'!$B$17</f>
        <v>321359.424233218</v>
      </c>
      <c r="E142" s="36" t="n">
        <f aca="false">C142-D142</f>
        <v>-321359.424233218</v>
      </c>
      <c r="F142" s="59" t="str">
        <f aca="false">IF(E142&gt;0,B142/E142,"n/a")</f>
        <v>n/a</v>
      </c>
      <c r="G142" s="36" t="n">
        <f aca="false">-B142+E142*(1-(1+('Inputs &amp; Assumptions'!$B$20/100))^-'Inputs &amp; Assumptions'!$B$22)/('Inputs &amp; Assumptions'!$B$20/100)</f>
        <v>-7212159.10016167</v>
      </c>
      <c r="H142" s="57" t="str">
        <f aca="false">IF(E142&gt;0,IFERROR(MAX(-0.99,RATE('Inputs &amp; Assumptions'!$B$22,E142,-B142,0,0,E142/B142)),-1),"n/a")</f>
        <v>n/a</v>
      </c>
      <c r="I142" s="16" t="str">
        <f aca="false">IF(AND(LEN(TRIM(A142&amp;""))&gt;0,TRIM(A142&amp;"")&lt;&gt;"—",LEN(TRIM(B142&amp;""))&gt;0,TRIM(B142&amp;"")&lt;&gt;"—",LEN(TRIM(C142&amp;""))&gt;0,TRIM(C142&amp;"")&lt;&gt;"—",LEN(TRIM(D142&amp;""))&gt;0,TRIM(D142&amp;"")&lt;&gt;"—",LEN(TRIM(E142&amp;""))&gt;0,TRIM(E142&amp;"")&lt;&gt;"—",LEN(TRIM(F142&amp;""))&gt;0,TRIM(F142&amp;"")&lt;&gt;"—",LEN(TRIM(G142&amp;""))&gt;0,TRIM(G142&amp;"")&lt;&gt;"—",LEN(TRIM(H142&amp;""))&gt;0,TRIM(H142&amp;"")&lt;&gt;"—"),"PASS","⚠ FAIL — "&amp;"a required cell is empty/placeholder or wrong type")</f>
        <v>PASS</v>
      </c>
    </row>
    <row r="143" customFormat="false" ht="15" hidden="false" customHeight="false" outlineLevel="0" collapsed="false">
      <c r="A143" s="58" t="n">
        <v>24206.124</v>
      </c>
      <c r="B143" s="36" t="n">
        <f aca="false">'Inputs &amp; Assumptions'!$B$18*(A143/'Inputs &amp; Assumptions'!$B$5)^'Inputs &amp; Assumptions'!$B$19</f>
        <v>5547660.35717</v>
      </c>
      <c r="C143" s="36" t="n">
        <f aca="false">A143*'Inputs &amp; Assumptions'!$B$6</f>
        <v>0</v>
      </c>
      <c r="D143" s="36" t="n">
        <f aca="false">A143*'Inputs &amp; Assumptions'!$B$8*'Inputs &amp; Assumptions'!$B$7+'Inputs &amp; Assumptions'!$B$10*(A143/'Inputs &amp; Assumptions'!$B$5)*'Inputs &amp; Assumptions'!$B$12*'Inputs &amp; Assumptions'!$B$11*'Inputs &amp; Assumptions'!$B$9+'Inputs &amp; Assumptions'!$B$15+B143*'Inputs &amp; Assumptions'!$B$16/100+'Inputs &amp; Assumptions'!$B$17</f>
        <v>385712.0050751</v>
      </c>
      <c r="E143" s="36" t="n">
        <f aca="false">C143-D143</f>
        <v>-385712.0050751</v>
      </c>
      <c r="F143" s="59" t="str">
        <f aca="false">IF(E143&gt;0,B143/E143,"n/a")</f>
        <v>n/a</v>
      </c>
      <c r="G143" s="36" t="n">
        <f aca="false">-B143+E143*(1-(1+('Inputs &amp; Assumptions'!$B$20/100))^-'Inputs &amp; Assumptions'!$B$22)/('Inputs &amp; Assumptions'!$B$20/100)</f>
        <v>-8831444.0898527</v>
      </c>
      <c r="H143" s="57" t="str">
        <f aca="false">IF(E143&gt;0,IFERROR(MAX(-0.99,RATE('Inputs &amp; Assumptions'!$B$22,E143,-B143,0,0,E143/B143)),-1),"n/a")</f>
        <v>n/a</v>
      </c>
      <c r="I143" s="16" t="str">
        <f aca="false">IF(AND(LEN(TRIM(A143&amp;""))&gt;0,TRIM(A143&amp;"")&lt;&gt;"—",LEN(TRIM(B143&amp;""))&gt;0,TRIM(B143&amp;"")&lt;&gt;"—",LEN(TRIM(C143&amp;""))&gt;0,TRIM(C143&amp;"")&lt;&gt;"—",LEN(TRIM(D143&amp;""))&gt;0,TRIM(D143&amp;"")&lt;&gt;"—",LEN(TRIM(E143&amp;""))&gt;0,TRIM(E143&amp;"")&lt;&gt;"—",LEN(TRIM(F143&amp;""))&gt;0,TRIM(F143&amp;"")&lt;&gt;"—",LEN(TRIM(G143&amp;""))&gt;0,TRIM(G143&amp;"")&lt;&gt;"—",LEN(TRIM(H143&amp;""))&gt;0,TRIM(H143&amp;"")&lt;&gt;"—"),"PASS","⚠ FAIL — "&amp;"a required cell is empty/placeholder or wrong type")</f>
        <v>PASS</v>
      </c>
    </row>
    <row r="144" customFormat="false" ht="15" hidden="false" customHeight="false" outlineLevel="0" collapsed="false">
      <c r="A144" s="58" t="n">
        <v>30000</v>
      </c>
      <c r="B144" s="36" t="n">
        <f aca="false">'Inputs &amp; Assumptions'!$B$18*(A144/'Inputs &amp; Assumptions'!$B$5)^'Inputs &amp; Assumptions'!$B$19</f>
        <v>6875525</v>
      </c>
      <c r="C144" s="36" t="n">
        <f aca="false">A144*'Inputs &amp; Assumptions'!$B$6</f>
        <v>0</v>
      </c>
      <c r="D144" s="36" t="n">
        <f aca="false">A144*'Inputs &amp; Assumptions'!$B$8*'Inputs &amp; Assumptions'!$B$7+'Inputs &amp; Assumptions'!$B$10*(A144/'Inputs &amp; Assumptions'!$B$5)*'Inputs &amp; Assumptions'!$B$12*'Inputs &amp; Assumptions'!$B$11*'Inputs &amp; Assumptions'!$B$9+'Inputs &amp; Assumptions'!$B$15+B144*'Inputs &amp; Assumptions'!$B$16/100+'Inputs &amp; Assumptions'!$B$17</f>
        <v>465467.75</v>
      </c>
      <c r="E144" s="36" t="n">
        <f aca="false">C144-D144</f>
        <v>-465467.75</v>
      </c>
      <c r="F144" s="59" t="str">
        <f aca="false">IF(E144&gt;0,B144/E144,"n/a")</f>
        <v>n/a</v>
      </c>
      <c r="G144" s="36" t="n">
        <f aca="false">-B144+E144*(1-(1+('Inputs &amp; Assumptions'!$B$20/100))^-'Inputs &amp; Assumptions'!$B$22)/('Inputs &amp; Assumptions'!$B$20/100)</f>
        <v>-10838314.3491177</v>
      </c>
      <c r="H144" s="57" t="str">
        <f aca="false">IF(E144&gt;0,IFERROR(MAX(-0.99,RATE('Inputs &amp; Assumptions'!$B$22,E144,-B144,0,0,E144/B144)),-1),"n/a")</f>
        <v>n/a</v>
      </c>
      <c r="I144" s="16" t="str">
        <f aca="false">IF(AND(LEN(TRIM(A144&amp;""))&gt;0,TRIM(A144&amp;"")&lt;&gt;"—",LEN(TRIM(B144&amp;""))&gt;0,TRIM(B144&amp;"")&lt;&gt;"—",LEN(TRIM(C144&amp;""))&gt;0,TRIM(C144&amp;"")&lt;&gt;"—",LEN(TRIM(D144&amp;""))&gt;0,TRIM(D144&amp;"")&lt;&gt;"—",LEN(TRIM(E144&amp;""))&gt;0,TRIM(E144&amp;"")&lt;&gt;"—",LEN(TRIM(F144&amp;""))&gt;0,TRIM(F144&amp;"")&lt;&gt;"—",LEN(TRIM(G144&amp;""))&gt;0,TRIM(G144&amp;"")&lt;&gt;"—",LEN(TRIM(H144&amp;""))&gt;0,TRIM(H144&amp;"")&lt;&gt;"—"),"PASS","⚠ FAIL — "&amp;"a required cell is empty/placeholder or wrong type")</f>
        <v>PASS</v>
      </c>
    </row>
    <row r="146" customFormat="false" ht="15" hidden="false" customHeight="false" outlineLevel="0" collapsed="false">
      <c r="A146" s="8" t="s">
        <v>345</v>
      </c>
      <c r="B146" s="8"/>
      <c r="C146" s="8"/>
      <c r="D146" s="8"/>
      <c r="E146" s="8"/>
      <c r="F146" s="8"/>
      <c r="G146" s="8"/>
      <c r="H146" s="8"/>
    </row>
    <row r="147" customFormat="false" ht="15" hidden="false" customHeight="false" outlineLevel="0" collapsed="false">
      <c r="A147" s="9" t="s">
        <v>337</v>
      </c>
      <c r="B147" s="9" t="s">
        <v>346</v>
      </c>
      <c r="C147" s="9"/>
      <c r="D147" s="9"/>
      <c r="E147" s="9"/>
      <c r="F147" s="9"/>
      <c r="G147" s="9"/>
      <c r="H147" s="9"/>
      <c r="I147" s="10" t="s">
        <v>20</v>
      </c>
    </row>
    <row r="148" customFormat="false" ht="15" hidden="false" customHeight="false" outlineLevel="0" collapsed="false">
      <c r="A148" s="59" t="n">
        <f aca="false">A129</f>
        <v>1200</v>
      </c>
      <c r="B148" s="59" t="n">
        <f aca="false">IF(E129&gt;0,MIN(40,B129/E129),40)</f>
        <v>40</v>
      </c>
      <c r="I148" s="16" t="str">
        <f aca="false">IF(AND(LEN(TRIM(A148&amp;""))&gt;0,TRIM(A148&amp;"")&lt;&gt;"—",LEN(TRIM(B148&amp;""))&gt;0,TRIM(B148&amp;"")&lt;&gt;"—"),"PASS","⚠ FAIL — "&amp;"a required cell is empty/placeholder or wrong type")</f>
        <v>PASS</v>
      </c>
    </row>
    <row r="149" customFormat="false" ht="15" hidden="false" customHeight="false" outlineLevel="0" collapsed="false">
      <c r="A149" s="59" t="n">
        <f aca="false">A130</f>
        <v>1487.2269</v>
      </c>
      <c r="B149" s="59" t="n">
        <f aca="false">IF(E130&gt;0,MIN(40,B130/E130),40)</f>
        <v>40</v>
      </c>
      <c r="I149" s="16" t="str">
        <f aca="false">IF(AND(LEN(TRIM(A149&amp;""))&gt;0,TRIM(A149&amp;"")&lt;&gt;"—",LEN(TRIM(B149&amp;""))&gt;0,TRIM(B149&amp;"")&lt;&gt;"—"),"PASS","⚠ FAIL — "&amp;"a required cell is empty/placeholder or wrong type")</f>
        <v>PASS</v>
      </c>
    </row>
    <row r="150" customFormat="false" ht="15" hidden="false" customHeight="false" outlineLevel="0" collapsed="false">
      <c r="A150" s="59" t="n">
        <f aca="false">A131</f>
        <v>1843.2033</v>
      </c>
      <c r="B150" s="59" t="n">
        <f aca="false">IF(E131&gt;0,MIN(40,B131/E131),40)</f>
        <v>40</v>
      </c>
      <c r="I150" s="16" t="str">
        <f aca="false">IF(AND(LEN(TRIM(A150&amp;""))&gt;0,TRIM(A150&amp;"")&lt;&gt;"—",LEN(TRIM(B150&amp;""))&gt;0,TRIM(B150&amp;"")&lt;&gt;"—"),"PASS","⚠ FAIL — "&amp;"a required cell is empty/placeholder or wrong type")</f>
        <v>PASS</v>
      </c>
    </row>
    <row r="151" customFormat="false" ht="15" hidden="false" customHeight="false" outlineLevel="0" collapsed="false">
      <c r="A151" s="59" t="n">
        <f aca="false">A132</f>
        <v>2284.3847</v>
      </c>
      <c r="B151" s="59" t="n">
        <f aca="false">IF(E132&gt;0,MIN(40,B132/E132),40)</f>
        <v>40</v>
      </c>
      <c r="I151" s="16" t="str">
        <f aca="false">IF(AND(LEN(TRIM(A151&amp;""))&gt;0,TRIM(A151&amp;"")&lt;&gt;"—",LEN(TRIM(B151&amp;""))&gt;0,TRIM(B151&amp;"")&lt;&gt;"—"),"PASS","⚠ FAIL — "&amp;"a required cell is empty/placeholder or wrong type")</f>
        <v>PASS</v>
      </c>
    </row>
    <row r="152" customFormat="false" ht="15" hidden="false" customHeight="false" outlineLevel="0" collapsed="false">
      <c r="A152" s="59" t="n">
        <f aca="false">A133</f>
        <v>2831.1654</v>
      </c>
      <c r="B152" s="59" t="n">
        <f aca="false">IF(E133&gt;0,MIN(40,B133/E133),40)</f>
        <v>40</v>
      </c>
      <c r="I152" s="16" t="str">
        <f aca="false">IF(AND(LEN(TRIM(A152&amp;""))&gt;0,TRIM(A152&amp;"")&lt;&gt;"—",LEN(TRIM(B152&amp;""))&gt;0,TRIM(B152&amp;"")&lt;&gt;"—"),"PASS","⚠ FAIL — "&amp;"a required cell is empty/placeholder or wrong type")</f>
        <v>PASS</v>
      </c>
    </row>
    <row r="153" customFormat="false" ht="15" hidden="false" customHeight="false" outlineLevel="0" collapsed="false">
      <c r="A153" s="59" t="n">
        <f aca="false">A134</f>
        <v>3508.8213</v>
      </c>
      <c r="B153" s="59" t="n">
        <f aca="false">IF(E134&gt;0,MIN(40,B134/E134),40)</f>
        <v>40</v>
      </c>
      <c r="I153" s="16" t="str">
        <f aca="false">IF(AND(LEN(TRIM(A153&amp;""))&gt;0,TRIM(A153&amp;"")&lt;&gt;"—",LEN(TRIM(B153&amp;""))&gt;0,TRIM(B153&amp;"")&lt;&gt;"—"),"PASS","⚠ FAIL — "&amp;"a required cell is empty/placeholder or wrong type")</f>
        <v>PASS</v>
      </c>
    </row>
    <row r="154" customFormat="false" ht="15" hidden="false" customHeight="false" outlineLevel="0" collapsed="false">
      <c r="A154" s="59" t="n">
        <f aca="false">A135</f>
        <v>4348.678</v>
      </c>
      <c r="B154" s="59" t="n">
        <f aca="false">IF(E135&gt;0,MIN(40,B135/E135),40)</f>
        <v>40</v>
      </c>
      <c r="I154" s="16" t="str">
        <f aca="false">IF(AND(LEN(TRIM(A154&amp;""))&gt;0,TRIM(A154&amp;"")&lt;&gt;"—",LEN(TRIM(B154&amp;""))&gt;0,TRIM(B154&amp;"")&lt;&gt;"—"),"PASS","⚠ FAIL — "&amp;"a required cell is empty/placeholder or wrong type")</f>
        <v>PASS</v>
      </c>
    </row>
    <row r="155" customFormat="false" ht="15" hidden="false" customHeight="false" outlineLevel="0" collapsed="false">
      <c r="A155" s="59" t="n">
        <f aca="false">A136</f>
        <v>5389.5592</v>
      </c>
      <c r="B155" s="59" t="n">
        <f aca="false">IF(E136&gt;0,MIN(40,B136/E136),40)</f>
        <v>40</v>
      </c>
      <c r="I155" s="16" t="str">
        <f aca="false">IF(AND(LEN(TRIM(A155&amp;""))&gt;0,TRIM(A155&amp;"")&lt;&gt;"—",LEN(TRIM(B155&amp;""))&gt;0,TRIM(B155&amp;"")&lt;&gt;"—"),"PASS","⚠ FAIL — "&amp;"a required cell is empty/placeholder or wrong type")</f>
        <v>PASS</v>
      </c>
    </row>
    <row r="156" customFormat="false" ht="15" hidden="false" customHeight="false" outlineLevel="0" collapsed="false">
      <c r="A156" s="59" t="n">
        <f aca="false">A137</f>
        <v>6679.5815</v>
      </c>
      <c r="B156" s="59" t="n">
        <f aca="false">IF(E137&gt;0,MIN(40,B137/E137),40)</f>
        <v>40</v>
      </c>
      <c r="I156" s="16" t="str">
        <f aca="false">IF(AND(LEN(TRIM(A156&amp;""))&gt;0,TRIM(A156&amp;"")&lt;&gt;"—",LEN(TRIM(B156&amp;""))&gt;0,TRIM(B156&amp;"")&lt;&gt;"—"),"PASS","⚠ FAIL — "&amp;"a required cell is empty/placeholder or wrong type")</f>
        <v>PASS</v>
      </c>
    </row>
    <row r="157" customFormat="false" ht="15" hidden="false" customHeight="false" outlineLevel="0" collapsed="false">
      <c r="A157" s="59" t="n">
        <f aca="false">A138</f>
        <v>8278.378</v>
      </c>
      <c r="B157" s="59" t="n">
        <f aca="false">IF(E138&gt;0,MIN(40,B138/E138),40)</f>
        <v>40</v>
      </c>
      <c r="I157" s="16" t="str">
        <f aca="false">IF(AND(LEN(TRIM(A157&amp;""))&gt;0,TRIM(A157&amp;"")&lt;&gt;"—",LEN(TRIM(B157&amp;""))&gt;0,TRIM(B157&amp;"")&lt;&gt;"—"),"PASS","⚠ FAIL — "&amp;"a required cell is empty/placeholder or wrong type")</f>
        <v>PASS</v>
      </c>
    </row>
    <row r="158" customFormat="false" ht="15" hidden="false" customHeight="false" outlineLevel="0" collapsed="false">
      <c r="A158" s="59" t="n">
        <f aca="false">A139</f>
        <v>10259.8557</v>
      </c>
      <c r="B158" s="59" t="n">
        <f aca="false">IF(E139&gt;0,MIN(40,B139/E139),40)</f>
        <v>40</v>
      </c>
      <c r="I158" s="16" t="str">
        <f aca="false">IF(AND(LEN(TRIM(A158&amp;""))&gt;0,TRIM(A158&amp;"")&lt;&gt;"—",LEN(TRIM(B158&amp;""))&gt;0,TRIM(B158&amp;"")&lt;&gt;"—"),"PASS","⚠ FAIL — "&amp;"a required cell is empty/placeholder or wrong type")</f>
        <v>PASS</v>
      </c>
    </row>
    <row r="159" customFormat="false" ht="15" hidden="false" customHeight="false" outlineLevel="0" collapsed="false">
      <c r="A159" s="59" t="n">
        <f aca="false">A140</f>
        <v>12715.6116</v>
      </c>
      <c r="B159" s="59" t="n">
        <f aca="false">IF(E140&gt;0,MIN(40,B140/E140),40)</f>
        <v>40</v>
      </c>
      <c r="I159" s="16" t="str">
        <f aca="false">IF(AND(LEN(TRIM(A159&amp;""))&gt;0,TRIM(A159&amp;"")&lt;&gt;"—",LEN(TRIM(B159&amp;""))&gt;0,TRIM(B159&amp;"")&lt;&gt;"—"),"PASS","⚠ FAIL — "&amp;"a required cell is empty/placeholder or wrong type")</f>
        <v>PASS</v>
      </c>
    </row>
    <row r="160" customFormat="false" ht="15" hidden="false" customHeight="false" outlineLevel="0" collapsed="false">
      <c r="A160" s="59" t="n">
        <f aca="false">A141</f>
        <v>15759.1668</v>
      </c>
      <c r="B160" s="59" t="n">
        <f aca="false">IF(E141&gt;0,MIN(40,B141/E141),40)</f>
        <v>40</v>
      </c>
      <c r="I160" s="16" t="str">
        <f aca="false">IF(AND(LEN(TRIM(A160&amp;""))&gt;0,TRIM(A160&amp;"")&lt;&gt;"—",LEN(TRIM(B160&amp;""))&gt;0,TRIM(B160&amp;"")&lt;&gt;"—"),"PASS","⚠ FAIL — "&amp;"a required cell is empty/placeholder or wrong type")</f>
        <v>PASS</v>
      </c>
    </row>
    <row r="161" customFormat="false" ht="15" hidden="false" customHeight="false" outlineLevel="0" collapsed="false">
      <c r="A161" s="59" t="n">
        <f aca="false">A142</f>
        <v>19531.2147</v>
      </c>
      <c r="B161" s="59" t="n">
        <f aca="false">IF(E142&gt;0,MIN(40,B142/E142),40)</f>
        <v>40</v>
      </c>
      <c r="I161" s="16" t="str">
        <f aca="false">IF(AND(LEN(TRIM(A161&amp;""))&gt;0,TRIM(A161&amp;"")&lt;&gt;"—",LEN(TRIM(B161&amp;""))&gt;0,TRIM(B161&amp;"")&lt;&gt;"—"),"PASS","⚠ FAIL — "&amp;"a required cell is empty/placeholder or wrong type")</f>
        <v>PASS</v>
      </c>
    </row>
    <row r="162" customFormat="false" ht="15" hidden="false" customHeight="false" outlineLevel="0" collapsed="false">
      <c r="A162" s="59" t="n">
        <f aca="false">A143</f>
        <v>24206.124</v>
      </c>
      <c r="B162" s="59" t="n">
        <f aca="false">IF(E143&gt;0,MIN(40,B143/E143),40)</f>
        <v>40</v>
      </c>
      <c r="I162" s="16" t="str">
        <f aca="false">IF(AND(LEN(TRIM(A162&amp;""))&gt;0,TRIM(A162&amp;"")&lt;&gt;"—",LEN(TRIM(B162&amp;""))&gt;0,TRIM(B162&amp;"")&lt;&gt;"—"),"PASS","⚠ FAIL — "&amp;"a required cell is empty/placeholder or wrong type")</f>
        <v>PASS</v>
      </c>
    </row>
    <row r="163" customFormat="false" ht="15" hidden="false" customHeight="false" outlineLevel="0" collapsed="false">
      <c r="A163" s="59" t="n">
        <f aca="false">A144</f>
        <v>30000</v>
      </c>
      <c r="B163" s="59" t="n">
        <f aca="false">IF(E144&gt;0,MIN(40,B144/E144),40)</f>
        <v>40</v>
      </c>
      <c r="I163" s="16" t="str">
        <f aca="false">IF(AND(LEN(TRIM(A163&amp;""))&gt;0,TRIM(A163&amp;"")&lt;&gt;"—",LEN(TRIM(B163&amp;""))&gt;0,TRIM(B163&amp;"")&lt;&gt;"—"),"PASS","⚠ FAIL — "&amp;"a required cell is empty/placeholder or wrong type")</f>
        <v>PASS</v>
      </c>
    </row>
    <row r="165" customFormat="false" ht="15" hidden="false" customHeight="false" outlineLevel="0" collapsed="false">
      <c r="A165" s="8" t="s">
        <v>347</v>
      </c>
      <c r="B165" s="8"/>
      <c r="C165" s="8"/>
      <c r="D165" s="8"/>
      <c r="E165" s="8"/>
      <c r="F165" s="8"/>
      <c r="G165" s="8"/>
      <c r="H165" s="8"/>
    </row>
    <row r="166" customFormat="false" ht="15" hidden="false" customHeight="false" outlineLevel="0" collapsed="false">
      <c r="A166" s="9" t="s">
        <v>348</v>
      </c>
      <c r="B166" s="9" t="s">
        <v>349</v>
      </c>
      <c r="C166" s="9" t="s">
        <v>350</v>
      </c>
      <c r="D166" s="9" t="s">
        <v>351</v>
      </c>
      <c r="E166" s="9"/>
      <c r="F166" s="9"/>
      <c r="G166" s="9"/>
      <c r="H166" s="9"/>
      <c r="I166" s="10" t="s">
        <v>20</v>
      </c>
    </row>
    <row r="167" customFormat="false" ht="15" hidden="false" customHeight="false" outlineLevel="0" collapsed="false">
      <c r="A167" s="17" t="s">
        <v>352</v>
      </c>
      <c r="B167" s="60" t="n">
        <f aca="false">'Inputs &amp; Assumptions'!$B$6*0.75</f>
        <v>0</v>
      </c>
      <c r="C167" s="60" t="n">
        <f aca="false">'Inputs &amp; Assumptions'!$B$6</f>
        <v>0</v>
      </c>
      <c r="D167" s="60" t="n">
        <f aca="false">'Inputs &amp; Assumptions'!$B$6*1.25</f>
        <v>0</v>
      </c>
      <c r="I167" s="16" t="str">
        <f aca="false">IF(AND(LEN(TRIM(A167&amp;""))&gt;0,TRIM(A167&amp;"")&lt;&gt;"—",LEN(TRIM(B167&amp;""))&gt;0,TRIM(B167&amp;"")&lt;&gt;"—",LEN(TRIM(C167&amp;""))&gt;0,TRIM(C167&amp;"")&lt;&gt;"—",LEN(TRIM(D167&amp;""))&gt;0,TRIM(D167&amp;"")&lt;&gt;"—"),"PASS","⚠ FAIL — "&amp;"a required cell is empty/placeholder or wrong type")</f>
        <v>PASS</v>
      </c>
    </row>
    <row r="168" customFormat="false" ht="15" hidden="false" customHeight="false" outlineLevel="0" collapsed="false">
      <c r="A168" s="17" t="s">
        <v>353</v>
      </c>
      <c r="B168" s="60" t="n">
        <f aca="false">'Inputs &amp; Assumptions'!$B$9*0.75</f>
        <v>0.1125</v>
      </c>
      <c r="C168" s="60" t="n">
        <f aca="false">'Inputs &amp; Assumptions'!$B$9</f>
        <v>0.15</v>
      </c>
      <c r="D168" s="60" t="n">
        <f aca="false">'Inputs &amp; Assumptions'!$B$9*1.25</f>
        <v>0.1875</v>
      </c>
      <c r="I168" s="16" t="str">
        <f aca="false">IF(AND(LEN(TRIM(A168&amp;""))&gt;0,TRIM(A168&amp;"")&lt;&gt;"—",LEN(TRIM(B168&amp;""))&gt;0,TRIM(B168&amp;"")&lt;&gt;"—",LEN(TRIM(C168&amp;""))&gt;0,TRIM(C168&amp;"")&lt;&gt;"—",LEN(TRIM(D168&amp;""))&gt;0,TRIM(D168&amp;"")&lt;&gt;"—"),"PASS","⚠ FAIL — "&amp;"a required cell is empty/placeholder or wrong type")</f>
        <v>PASS</v>
      </c>
    </row>
    <row r="169" customFormat="false" ht="15" hidden="false" customHeight="false" outlineLevel="0" collapsed="false">
      <c r="A169" s="17" t="s">
        <v>354</v>
      </c>
      <c r="B169" s="36" t="n">
        <f aca="false">'Inputs &amp; Assumptions'!$B$18*0.85</f>
        <v>1168839.25</v>
      </c>
      <c r="C169" s="36" t="n">
        <f aca="false">'Inputs &amp; Assumptions'!$B$18</f>
        <v>1375105</v>
      </c>
      <c r="D169" s="36" t="n">
        <f aca="false">'Inputs &amp; Assumptions'!$B$18*1.15</f>
        <v>1581370.75</v>
      </c>
      <c r="I169" s="16" t="str">
        <f aca="false">IF(AND(LEN(TRIM(A169&amp;""))&gt;0,TRIM(A169&amp;"")&lt;&gt;"—",LEN(TRIM(B169&amp;""))&gt;0,TRIM(B169&amp;"")&lt;&gt;"—",LEN(TRIM(C169&amp;""))&gt;0,TRIM(C169&amp;"")&lt;&gt;"—",LEN(TRIM(D169&amp;""))&gt;0,TRIM(D169&amp;"")&lt;&gt;"—"),"PASS","⚠ FAIL — "&amp;"a required cell is empty/placeholder or wrong type")</f>
        <v>PASS</v>
      </c>
    </row>
    <row r="170" customFormat="false" ht="15" hidden="false" customHeight="false" outlineLevel="0" collapsed="false">
      <c r="A170" s="17" t="s">
        <v>339</v>
      </c>
      <c r="B170" s="36" t="n">
        <f aca="false">'Inputs &amp; Assumptions'!$B$5*B167</f>
        <v>0</v>
      </c>
      <c r="C170" s="36" t="n">
        <f aca="false">'Inputs &amp; Assumptions'!$B$5*C167</f>
        <v>0</v>
      </c>
      <c r="D170" s="36" t="n">
        <f aca="false">'Inputs &amp; Assumptions'!$B$5*D167</f>
        <v>0</v>
      </c>
      <c r="I170" s="16" t="str">
        <f aca="false">IF(AND(LEN(TRIM(A170&amp;""))&gt;0,TRIM(A170&amp;"")&lt;&gt;"—",LEN(TRIM(B170&amp;""))&gt;0,TRIM(B170&amp;"")&lt;&gt;"—",LEN(TRIM(C170&amp;""))&gt;0,TRIM(C170&amp;"")&lt;&gt;"—",LEN(TRIM(D170&amp;""))&gt;0,TRIM(D170&amp;"")&lt;&gt;"—"),"PASS","⚠ FAIL — "&amp;"a required cell is empty/placeholder or wrong type")</f>
        <v>PASS</v>
      </c>
    </row>
    <row r="171" customFormat="false" ht="15" hidden="false" customHeight="false" outlineLevel="0" collapsed="false">
      <c r="A171" s="17" t="s">
        <v>340</v>
      </c>
      <c r="B171" s="36" t="n">
        <f aca="false">'Inputs &amp; Assumptions'!$B$5*'Inputs &amp; Assumptions'!$B$8*'Inputs &amp; Assumptions'!$B$7+'Inputs &amp; Assumptions'!$B$10*'Inputs &amp; Assumptions'!$B$12*'Inputs &amp; Assumptions'!$B$11*B168+'Inputs &amp; Assumptions'!$B$15+B169*'Inputs &amp; Assumptions'!$B$16/100+'Inputs &amp; Assumptions'!$B$17</f>
        <v>118572.1775</v>
      </c>
      <c r="C171" s="36" t="n">
        <f aca="false">'Inputs &amp; Assumptions'!$B$5*'Inputs &amp; Assumptions'!$B$8*'Inputs &amp; Assumptions'!$B$7+'Inputs &amp; Assumptions'!$B$10*'Inputs &amp; Assumptions'!$B$12*'Inputs &amp; Assumptions'!$B$11*C168+'Inputs &amp; Assumptions'!$B$15+C169*'Inputs &amp; Assumptions'!$B$16/100+'Inputs &amp; Assumptions'!$B$17</f>
        <v>135095.15</v>
      </c>
      <c r="D171" s="36" t="n">
        <f aca="false">'Inputs &amp; Assumptions'!$B$5*'Inputs &amp; Assumptions'!$B$8*'Inputs &amp; Assumptions'!$B$7+'Inputs &amp; Assumptions'!$B$10*'Inputs &amp; Assumptions'!$B$12*'Inputs &amp; Assumptions'!$B$11*D168+'Inputs &amp; Assumptions'!$B$15+D169*'Inputs &amp; Assumptions'!$B$16/100+'Inputs &amp; Assumptions'!$B$17</f>
        <v>151618.1225</v>
      </c>
    </row>
    <row r="172" customFormat="false" ht="15" hidden="false" customHeight="false" outlineLevel="0" collapsed="false">
      <c r="A172" s="17" t="s">
        <v>341</v>
      </c>
      <c r="B172" s="36" t="n">
        <f aca="false">B170-('Inputs &amp; Assumptions'!$B$5*'Inputs &amp; Assumptions'!$B$8*'Inputs &amp; Assumptions'!$B$7+'Inputs &amp; Assumptions'!$B$10*'Inputs &amp; Assumptions'!$B$12*'Inputs &amp; Assumptions'!$B$11*D168+'Inputs &amp; Assumptions'!$B$15+D169*'Inputs &amp; Assumptions'!$B$16/100+'Inputs &amp; Assumptions'!$B$17)</f>
        <v>-151618.1225</v>
      </c>
      <c r="C172" s="36" t="n">
        <f aca="false">C170-C171</f>
        <v>-135095.15</v>
      </c>
      <c r="D172" s="36" t="n">
        <f aca="false">D170-('Inputs &amp; Assumptions'!$B$5*'Inputs &amp; Assumptions'!$B$8*'Inputs &amp; Assumptions'!$B$7+'Inputs &amp; Assumptions'!$B$10*'Inputs &amp; Assumptions'!$B$12*'Inputs &amp; Assumptions'!$B$11*B168+'Inputs &amp; Assumptions'!$B$15+B169*'Inputs &amp; Assumptions'!$B$16/100+'Inputs &amp; Assumptions'!$B$17)</f>
        <v>-118572.1775</v>
      </c>
      <c r="I172" s="16" t="str">
        <f aca="false">IF(AND(LEN(TRIM(A172&amp;""))&gt;0,TRIM(A172&amp;"")&lt;&gt;"—",LEN(TRIM(B172&amp;""))&gt;0,TRIM(B172&amp;"")&lt;&gt;"—",LEN(TRIM(C172&amp;""))&gt;0,TRIM(C172&amp;"")&lt;&gt;"—",LEN(TRIM(D172&amp;""))&gt;0,TRIM(D172&amp;"")&lt;&gt;"—"),"PASS","⚠ FAIL — "&amp;"a required cell is empty/placeholder or wrong type")</f>
        <v>PASS</v>
      </c>
    </row>
    <row r="173" customFormat="false" ht="15" hidden="false" customHeight="false" outlineLevel="0" collapsed="false">
      <c r="A173" s="17" t="s">
        <v>355</v>
      </c>
      <c r="B173" s="59" t="str">
        <f aca="false">IF(B172&gt;0,D169/B172,"n/a")</f>
        <v>n/a</v>
      </c>
      <c r="C173" s="59" t="str">
        <f aca="false">IF(C172&gt;0,C169/C172,"n/a")</f>
        <v>n/a</v>
      </c>
      <c r="D173" s="59" t="str">
        <f aca="false">IF(D172&gt;0,B169/D172,"n/a")</f>
        <v>n/a</v>
      </c>
      <c r="I173" s="16" t="str">
        <f aca="false">IF(AND(LEN(TRIM(A173&amp;""))&gt;0,TRIM(A173&amp;"")&lt;&gt;"—",LEN(TRIM(B173&amp;""))&gt;0,TRIM(B173&amp;"")&lt;&gt;"—",LEN(TRIM(C173&amp;""))&gt;0,TRIM(C173&amp;"")&lt;&gt;"—",LEN(TRIM(D173&amp;""))&gt;0,TRIM(D173&amp;"")&lt;&gt;"—"),"PASS","⚠ FAIL — "&amp;"a required cell is empty/placeholder or wrong type")</f>
        <v>PASS</v>
      </c>
    </row>
    <row r="174" customFormat="false" ht="15" hidden="false" customHeight="false" outlineLevel="0" collapsed="false">
      <c r="A174" s="8" t="s">
        <v>356</v>
      </c>
      <c r="B174" s="8"/>
      <c r="C174" s="8"/>
      <c r="D174" s="8"/>
      <c r="E174" s="8"/>
      <c r="F174" s="8"/>
      <c r="G174" s="8"/>
      <c r="H174" s="8"/>
    </row>
    <row r="175" customFormat="false" ht="23.85" hidden="false" customHeight="false" outlineLevel="0" collapsed="false">
      <c r="A175" s="9" t="s">
        <v>357</v>
      </c>
      <c r="B175" s="9" t="s">
        <v>358</v>
      </c>
      <c r="C175" s="9" t="s">
        <v>359</v>
      </c>
      <c r="D175" s="9" t="s">
        <v>360</v>
      </c>
      <c r="E175" s="9" t="s">
        <v>361</v>
      </c>
      <c r="F175" s="9"/>
      <c r="G175" s="9"/>
      <c r="H175" s="9"/>
      <c r="I175" s="10" t="s">
        <v>20</v>
      </c>
    </row>
    <row r="176" customFormat="false" ht="15" hidden="false" customHeight="false" outlineLevel="0" collapsed="false">
      <c r="A176" s="32" t="s">
        <v>362</v>
      </c>
      <c r="B176" s="36" t="n">
        <f aca="false">'Inputs &amp; Assumptions'!$B$5*'Inputs &amp; Assumptions'!$B$6*0.8-('Inputs &amp; Assumptions'!$B$5*'Inputs &amp; Assumptions'!$B$8*'Inputs &amp; Assumptions'!$B$7+'Inputs &amp; Assumptions'!$B$10*'Inputs &amp; Assumptions'!$B$12*'Inputs &amp; Assumptions'!$B$11*'Inputs &amp; Assumptions'!$B$9+'Inputs &amp; Assumptions'!$B$15+'Inputs &amp; Assumptions'!$B$18*'Inputs &amp; Assumptions'!$B$16/100+'Inputs &amp; Assumptions'!$B$17)</f>
        <v>-135095.15</v>
      </c>
      <c r="C176" s="36" t="n">
        <f aca="false">'Inputs &amp; Assumptions'!$B$5*'Inputs &amp; Assumptions'!$B$6-('Inputs &amp; Assumptions'!$B$5*'Inputs &amp; Assumptions'!$B$8*'Inputs &amp; Assumptions'!$B$7+'Inputs &amp; Assumptions'!$B$10*'Inputs &amp; Assumptions'!$B$12*'Inputs &amp; Assumptions'!$B$11*'Inputs &amp; Assumptions'!$B$9+'Inputs &amp; Assumptions'!$B$15+'Inputs &amp; Assumptions'!$B$18*'Inputs &amp; Assumptions'!$B$16/100+'Inputs &amp; Assumptions'!$B$17)</f>
        <v>-135095.15</v>
      </c>
      <c r="D176" s="36" t="n">
        <f aca="false">'Inputs &amp; Assumptions'!$B$5*'Inputs &amp; Assumptions'!$B$6*1.2-('Inputs &amp; Assumptions'!$B$5*'Inputs &amp; Assumptions'!$B$8*'Inputs &amp; Assumptions'!$B$7+'Inputs &amp; Assumptions'!$B$10*'Inputs &amp; Assumptions'!$B$12*'Inputs &amp; Assumptions'!$B$11*'Inputs &amp; Assumptions'!$B$9+'Inputs &amp; Assumptions'!$B$15+'Inputs &amp; Assumptions'!$B$18*'Inputs &amp; Assumptions'!$B$16/100+'Inputs &amp; Assumptions'!$B$17)</f>
        <v>-135095.15</v>
      </c>
      <c r="E176" s="36" t="n">
        <f aca="false">ABS(D176-B176)</f>
        <v>0</v>
      </c>
      <c r="I176" s="16" t="str">
        <f aca="false">IF(AND(LEN(TRIM(A176&amp;""))&gt;0,TRIM(A176&amp;"")&lt;&gt;"—",LEN(TRIM(B176&amp;""))&gt;0,TRIM(B176&amp;"")&lt;&gt;"—",LEN(TRIM(C176&amp;""))&gt;0,TRIM(C176&amp;"")&lt;&gt;"—",LEN(TRIM(D176&amp;""))&gt;0,TRIM(D176&amp;"")&lt;&gt;"—",LEN(TRIM(E176&amp;""))&gt;0,TRIM(E176&amp;"")&lt;&gt;"—"),"PASS","⚠ FAIL — "&amp;"a required cell is empty/placeholder or wrong type")</f>
        <v>PASS</v>
      </c>
    </row>
    <row r="177" customFormat="false" ht="15" hidden="false" customHeight="false" outlineLevel="0" collapsed="false">
      <c r="A177" s="32" t="s">
        <v>363</v>
      </c>
      <c r="B177" s="36" t="n">
        <f aca="false">'Inputs &amp; Assumptions'!$B$5*'Inputs &amp; Assumptions'!$B$6-('Inputs &amp; Assumptions'!$B$5*'Inputs &amp; Assumptions'!$B$8*'Inputs &amp; Assumptions'!$B$7*0.8+'Inputs &amp; Assumptions'!$B$10*'Inputs &amp; Assumptions'!$B$12*'Inputs &amp; Assumptions'!$B$11*'Inputs &amp; Assumptions'!$B$9+'Inputs &amp; Assumptions'!$B$15+'Inputs &amp; Assumptions'!$B$18*'Inputs &amp; Assumptions'!$B$16/100+'Inputs &amp; Assumptions'!$B$17)</f>
        <v>-135095.15</v>
      </c>
      <c r="C177" s="36" t="n">
        <f aca="false">'Inputs &amp; Assumptions'!$B$5*'Inputs &amp; Assumptions'!$B$6-('Inputs &amp; Assumptions'!$B$5*'Inputs &amp; Assumptions'!$B$8*'Inputs &amp; Assumptions'!$B$7+'Inputs &amp; Assumptions'!$B$10*'Inputs &amp; Assumptions'!$B$12*'Inputs &amp; Assumptions'!$B$11*'Inputs &amp; Assumptions'!$B$9+'Inputs &amp; Assumptions'!$B$15+'Inputs &amp; Assumptions'!$B$18*'Inputs &amp; Assumptions'!$B$16/100+'Inputs &amp; Assumptions'!$B$17)</f>
        <v>-135095.15</v>
      </c>
      <c r="D177" s="36" t="n">
        <f aca="false">'Inputs &amp; Assumptions'!$B$5*'Inputs &amp; Assumptions'!$B$6-('Inputs &amp; Assumptions'!$B$5*'Inputs &amp; Assumptions'!$B$8*'Inputs &amp; Assumptions'!$B$7*1.2+'Inputs &amp; Assumptions'!$B$10*'Inputs &amp; Assumptions'!$B$12*'Inputs &amp; Assumptions'!$B$11*'Inputs &amp; Assumptions'!$B$9+'Inputs &amp; Assumptions'!$B$15+'Inputs &amp; Assumptions'!$B$18*'Inputs &amp; Assumptions'!$B$16/100+'Inputs &amp; Assumptions'!$B$17)</f>
        <v>-135095.15</v>
      </c>
      <c r="E177" s="36" t="n">
        <f aca="false">ABS(D177-B177)</f>
        <v>0</v>
      </c>
      <c r="I177" s="16" t="str">
        <f aca="false">IF(AND(LEN(TRIM(A177&amp;""))&gt;0,TRIM(A177&amp;"")&lt;&gt;"—",LEN(TRIM(B177&amp;""))&gt;0,TRIM(B177&amp;"")&lt;&gt;"—",LEN(TRIM(C177&amp;""))&gt;0,TRIM(C177&amp;"")&lt;&gt;"—",LEN(TRIM(D177&amp;""))&gt;0,TRIM(D177&amp;"")&lt;&gt;"—",LEN(TRIM(E177&amp;""))&gt;0,TRIM(E177&amp;"")&lt;&gt;"—"),"PASS","⚠ FAIL — "&amp;"a required cell is empty/placeholder or wrong type")</f>
        <v>PASS</v>
      </c>
    </row>
    <row r="178" customFormat="false" ht="15" hidden="false" customHeight="false" outlineLevel="0" collapsed="false">
      <c r="A178" s="32" t="s">
        <v>364</v>
      </c>
      <c r="B178" s="36" t="n">
        <f aca="false">'Inputs &amp; Assumptions'!$B$5*'Inputs &amp; Assumptions'!$B$6-('Inputs &amp; Assumptions'!$B$5*'Inputs &amp; Assumptions'!$B$8*0.8*'Inputs &amp; Assumptions'!$B$7+'Inputs &amp; Assumptions'!$B$10*'Inputs &amp; Assumptions'!$B$12*'Inputs &amp; Assumptions'!$B$11*'Inputs &amp; Assumptions'!$B$9+'Inputs &amp; Assumptions'!$B$15+'Inputs &amp; Assumptions'!$B$18*'Inputs &amp; Assumptions'!$B$16/100+'Inputs &amp; Assumptions'!$B$17)</f>
        <v>-135095.15</v>
      </c>
      <c r="C178" s="36" t="n">
        <f aca="false">'Inputs &amp; Assumptions'!$B$5*'Inputs &amp; Assumptions'!$B$6-('Inputs &amp; Assumptions'!$B$5*'Inputs &amp; Assumptions'!$B$8*'Inputs &amp; Assumptions'!$B$7+'Inputs &amp; Assumptions'!$B$10*'Inputs &amp; Assumptions'!$B$12*'Inputs &amp; Assumptions'!$B$11*'Inputs &amp; Assumptions'!$B$9+'Inputs &amp; Assumptions'!$B$15+'Inputs &amp; Assumptions'!$B$18*'Inputs &amp; Assumptions'!$B$16/100+'Inputs &amp; Assumptions'!$B$17)</f>
        <v>-135095.15</v>
      </c>
      <c r="D178" s="36" t="n">
        <f aca="false">'Inputs &amp; Assumptions'!$B$5*'Inputs &amp; Assumptions'!$B$6-('Inputs &amp; Assumptions'!$B$5*'Inputs &amp; Assumptions'!$B$8*1.2*'Inputs &amp; Assumptions'!$B$7+'Inputs &amp; Assumptions'!$B$10*'Inputs &amp; Assumptions'!$B$12*'Inputs &amp; Assumptions'!$B$11*'Inputs &amp; Assumptions'!$B$9+'Inputs &amp; Assumptions'!$B$15+'Inputs &amp; Assumptions'!$B$18*'Inputs &amp; Assumptions'!$B$16/100+'Inputs &amp; Assumptions'!$B$17)</f>
        <v>-135095.15</v>
      </c>
      <c r="E178" s="36" t="n">
        <f aca="false">ABS(D178-B178)</f>
        <v>0</v>
      </c>
      <c r="I178" s="16" t="str">
        <f aca="false">IF(AND(LEN(TRIM(A178&amp;""))&gt;0,TRIM(A178&amp;"")&lt;&gt;"—",LEN(TRIM(B178&amp;""))&gt;0,TRIM(B178&amp;"")&lt;&gt;"—",LEN(TRIM(C178&amp;""))&gt;0,TRIM(C178&amp;"")&lt;&gt;"—",LEN(TRIM(D178&amp;""))&gt;0,TRIM(D178&amp;"")&lt;&gt;"—",LEN(TRIM(E178&amp;""))&gt;0,TRIM(E178&amp;"")&lt;&gt;"—"),"PASS","⚠ FAIL — "&amp;"a required cell is empty/placeholder or wrong type")</f>
        <v>PASS</v>
      </c>
    </row>
    <row r="179" customFormat="false" ht="15" hidden="false" customHeight="false" outlineLevel="0" collapsed="false">
      <c r="A179" s="32" t="s">
        <v>365</v>
      </c>
      <c r="B179" s="36" t="n">
        <f aca="false">'Inputs &amp; Assumptions'!$B$5*'Inputs &amp; Assumptions'!$B$6-('Inputs &amp; Assumptions'!$B$5*'Inputs &amp; Assumptions'!$B$8*'Inputs &amp; Assumptions'!$B$7+'Inputs &amp; Assumptions'!$B$10*'Inputs &amp; Assumptions'!$B$12*'Inputs &amp; Assumptions'!$B$11*'Inputs &amp; Assumptions'!$B$9*0.8+'Inputs &amp; Assumptions'!$B$15+'Inputs &amp; Assumptions'!$B$18*'Inputs &amp; Assumptions'!$B$16/100+'Inputs &amp; Assumptions'!$B$17)</f>
        <v>-126827.15</v>
      </c>
      <c r="C179" s="36" t="n">
        <f aca="false">'Inputs &amp; Assumptions'!$B$5*'Inputs &amp; Assumptions'!$B$6-('Inputs &amp; Assumptions'!$B$5*'Inputs &amp; Assumptions'!$B$8*'Inputs &amp; Assumptions'!$B$7+'Inputs &amp; Assumptions'!$B$10*'Inputs &amp; Assumptions'!$B$12*'Inputs &amp; Assumptions'!$B$11*'Inputs &amp; Assumptions'!$B$9+'Inputs &amp; Assumptions'!$B$15+'Inputs &amp; Assumptions'!$B$18*'Inputs &amp; Assumptions'!$B$16/100+'Inputs &amp; Assumptions'!$B$17)</f>
        <v>-135095.15</v>
      </c>
      <c r="D179" s="36" t="n">
        <f aca="false">'Inputs &amp; Assumptions'!$B$5*'Inputs &amp; Assumptions'!$B$6-('Inputs &amp; Assumptions'!$B$5*'Inputs &amp; Assumptions'!$B$8*'Inputs &amp; Assumptions'!$B$7+'Inputs &amp; Assumptions'!$B$10*'Inputs &amp; Assumptions'!$B$12*'Inputs &amp; Assumptions'!$B$11*'Inputs &amp; Assumptions'!$B$9*1.2+'Inputs &amp; Assumptions'!$B$15+'Inputs &amp; Assumptions'!$B$18*'Inputs &amp; Assumptions'!$B$16/100+'Inputs &amp; Assumptions'!$B$17)</f>
        <v>-143363.15</v>
      </c>
      <c r="E179" s="36" t="n">
        <f aca="false">ABS(D179-B179)</f>
        <v>16536</v>
      </c>
      <c r="I179" s="16" t="str">
        <f aca="false">IF(AND(LEN(TRIM(A179&amp;""))&gt;0,TRIM(A179&amp;"")&lt;&gt;"—",LEN(TRIM(B179&amp;""))&gt;0,TRIM(B179&amp;"")&lt;&gt;"—",LEN(TRIM(C179&amp;""))&gt;0,TRIM(C179&amp;"")&lt;&gt;"—",LEN(TRIM(D179&amp;""))&gt;0,TRIM(D179&amp;"")&lt;&gt;"—",LEN(TRIM(E179&amp;""))&gt;0,TRIM(E179&amp;"")&lt;&gt;"—"),"PASS","⚠ FAIL — "&amp;"a required cell is empty/placeholder or wrong type")</f>
        <v>PASS</v>
      </c>
    </row>
    <row r="180" customFormat="false" ht="15" hidden="false" customHeight="false" outlineLevel="0" collapsed="false">
      <c r="A180" s="32" t="s">
        <v>366</v>
      </c>
      <c r="B180" s="36" t="n">
        <f aca="false">'Inputs &amp; Assumptions'!$B$5*'Inputs &amp; Assumptions'!$B$6-('Inputs &amp; Assumptions'!$B$5*'Inputs &amp; Assumptions'!$B$8*'Inputs &amp; Assumptions'!$B$7+'Inputs &amp; Assumptions'!$B$10*'Inputs &amp; Assumptions'!$B$12*'Inputs &amp; Assumptions'!$B$11*'Inputs &amp; Assumptions'!$B$9+'Inputs &amp; Assumptions'!$B$15+'Inputs &amp; Assumptions'!$B$18*0.8*'Inputs &amp; Assumptions'!$B$16/100+'Inputs &amp; Assumptions'!$B$17)</f>
        <v>-126844.52</v>
      </c>
      <c r="C180" s="36" t="n">
        <f aca="false">'Inputs &amp; Assumptions'!$B$5*'Inputs &amp; Assumptions'!$B$6-('Inputs &amp; Assumptions'!$B$5*'Inputs &amp; Assumptions'!$B$8*'Inputs &amp; Assumptions'!$B$7+'Inputs &amp; Assumptions'!$B$10*'Inputs &amp; Assumptions'!$B$12*'Inputs &amp; Assumptions'!$B$11*'Inputs &amp; Assumptions'!$B$9+'Inputs &amp; Assumptions'!$B$15+'Inputs &amp; Assumptions'!$B$18*'Inputs &amp; Assumptions'!$B$16/100+'Inputs &amp; Assumptions'!$B$17)</f>
        <v>-135095.15</v>
      </c>
      <c r="D180" s="36" t="n">
        <f aca="false">'Inputs &amp; Assumptions'!$B$5*'Inputs &amp; Assumptions'!$B$6-('Inputs &amp; Assumptions'!$B$5*'Inputs &amp; Assumptions'!$B$8*'Inputs &amp; Assumptions'!$B$7+'Inputs &amp; Assumptions'!$B$10*'Inputs &amp; Assumptions'!$B$12*'Inputs &amp; Assumptions'!$B$11*'Inputs &amp; Assumptions'!$B$9+'Inputs &amp; Assumptions'!$B$15+'Inputs &amp; Assumptions'!$B$18*1.2*'Inputs &amp; Assumptions'!$B$16/100+'Inputs &amp; Assumptions'!$B$17)</f>
        <v>-143345.78</v>
      </c>
      <c r="E180" s="36" t="n">
        <f aca="false">ABS(D180-B180)</f>
        <v>16501.26</v>
      </c>
      <c r="I180" s="16" t="str">
        <f aca="false">IF(AND(LEN(TRIM(A180&amp;""))&gt;0,TRIM(A180&amp;"")&lt;&gt;"—",LEN(TRIM(B180&amp;""))&gt;0,TRIM(B180&amp;"")&lt;&gt;"—",LEN(TRIM(C180&amp;""))&gt;0,TRIM(C180&amp;"")&lt;&gt;"—",LEN(TRIM(D180&amp;""))&gt;0,TRIM(D180&amp;"")&lt;&gt;"—",LEN(TRIM(E180&amp;""))&gt;0,TRIM(E180&amp;"")&lt;&gt;"—"),"PASS","⚠ FAIL — "&amp;"a required cell is empty/placeholder or wrong type")</f>
        <v>PASS</v>
      </c>
    </row>
    <row r="181" customFormat="false" ht="15" hidden="false" customHeight="false" outlineLevel="0" collapsed="false">
      <c r="A181" s="32" t="s">
        <v>303</v>
      </c>
      <c r="B181" s="36" t="n">
        <f aca="false">'Inputs &amp; Assumptions'!$B$5*'Inputs &amp; Assumptions'!$B$6-('Inputs &amp; Assumptions'!$B$5*'Inputs &amp; Assumptions'!$B$8*'Inputs &amp; Assumptions'!$B$7+'Inputs &amp; Assumptions'!$B$10*'Inputs &amp; Assumptions'!$B$12*'Inputs &amp; Assumptions'!$B$11*'Inputs &amp; Assumptions'!$B$9+'Inputs &amp; Assumptions'!$B$15*0.8+'Inputs &amp; Assumptions'!$B$18*'Inputs &amp; Assumptions'!$B$16/100+'Inputs &amp; Assumptions'!$B$17)</f>
        <v>-130095.15</v>
      </c>
      <c r="C181" s="36" t="n">
        <f aca="false">'Inputs &amp; Assumptions'!$B$5*'Inputs &amp; Assumptions'!$B$6-('Inputs &amp; Assumptions'!$B$5*'Inputs &amp; Assumptions'!$B$8*'Inputs &amp; Assumptions'!$B$7+'Inputs &amp; Assumptions'!$B$10*'Inputs &amp; Assumptions'!$B$12*'Inputs &amp; Assumptions'!$B$11*'Inputs &amp; Assumptions'!$B$9+'Inputs &amp; Assumptions'!$B$15+'Inputs &amp; Assumptions'!$B$18*'Inputs &amp; Assumptions'!$B$16/100+'Inputs &amp; Assumptions'!$B$17)</f>
        <v>-135095.15</v>
      </c>
      <c r="D181" s="36" t="n">
        <f aca="false">'Inputs &amp; Assumptions'!$B$5*'Inputs &amp; Assumptions'!$B$6-('Inputs &amp; Assumptions'!$B$5*'Inputs &amp; Assumptions'!$B$8*'Inputs &amp; Assumptions'!$B$7+'Inputs &amp; Assumptions'!$B$10*'Inputs &amp; Assumptions'!$B$12*'Inputs &amp; Assumptions'!$B$11*'Inputs &amp; Assumptions'!$B$9+'Inputs &amp; Assumptions'!$B$15*1.2+'Inputs &amp; Assumptions'!$B$18*'Inputs &amp; Assumptions'!$B$16/100+'Inputs &amp; Assumptions'!$B$17)</f>
        <v>-140095.15</v>
      </c>
      <c r="E181" s="36" t="n">
        <f aca="false">ABS(D181-B181)</f>
        <v>10000</v>
      </c>
      <c r="I181" s="16" t="str">
        <f aca="false">IF(AND(LEN(TRIM(A181&amp;""))&gt;0,TRIM(A181&amp;"")&lt;&gt;"—",LEN(TRIM(B181&amp;""))&gt;0,TRIM(B181&amp;"")&lt;&gt;"—",LEN(TRIM(C181&amp;""))&gt;0,TRIM(C181&amp;"")&lt;&gt;"—",LEN(TRIM(D181&amp;""))&gt;0,TRIM(D181&amp;"")&lt;&gt;"—",LEN(TRIM(E181&amp;""))&gt;0,TRIM(E181&amp;"")&lt;&gt;"—"),"PASS","⚠ FAIL — "&amp;"a required cell is empty/placeholder or wrong type")</f>
        <v>PASS</v>
      </c>
    </row>
    <row r="183" customFormat="false" ht="15" hidden="false" customHeight="false" outlineLevel="0" collapsed="false">
      <c r="A183" s="8" t="s">
        <v>367</v>
      </c>
      <c r="B183" s="8"/>
      <c r="C183" s="8"/>
      <c r="D183" s="8"/>
      <c r="E183" s="8"/>
      <c r="F183" s="8"/>
      <c r="G183" s="8"/>
      <c r="H183" s="8"/>
    </row>
    <row r="184" customFormat="false" ht="15" hidden="false" customHeight="false" outlineLevel="0" collapsed="false">
      <c r="A184" s="17" t="s">
        <v>368</v>
      </c>
      <c r="B184" s="52" t="n">
        <f aca="false">('Inputs &amp; Assumptions'!$B$5*'Inputs &amp; Assumptions'!$B$8*'Inputs &amp; Assumptions'!$B$7+'Inputs &amp; Assumptions'!$B$10*'Inputs &amp; Assumptions'!$B$12*'Inputs &amp; Assumptions'!$B$11*'Inputs &amp; Assumptions'!$B$9+'Inputs &amp; Assumptions'!$B$15+'Inputs &amp; Assumptions'!$B$18*'Inputs &amp; Assumptions'!$B$16/100+'Inputs &amp; Assumptions'!$B$17)/('Inputs &amp; Assumptions'!$B$5)</f>
        <v>22.5158583333333</v>
      </c>
      <c r="C184" s="10" t="s">
        <v>369</v>
      </c>
    </row>
    <row r="185" customFormat="false" ht="15" hidden="false" customHeight="false" outlineLevel="0" collapsed="false">
      <c r="A185" s="17" t="s">
        <v>370</v>
      </c>
      <c r="B185" s="10" t="s">
        <v>371</v>
      </c>
      <c r="C185" s="10" t="s">
        <v>372</v>
      </c>
      <c r="D185" s="10" t="s">
        <v>373</v>
      </c>
    </row>
    <row r="186" customFormat="false" ht="15" hidden="false" customHeight="false" outlineLevel="0" collapsed="false">
      <c r="A186" s="32" t="s">
        <v>374</v>
      </c>
      <c r="B186" s="36" t="n">
        <f aca="false">'Inputs &amp; Assumptions'!$B$5*'Inputs &amp; Assumptions'!$B$6*0.8-('Inputs &amp; Assumptions'!$B$5*'Inputs &amp; Assumptions'!$B$8*1.1*'Inputs &amp; Assumptions'!$B$7*1.2+'Inputs &amp; Assumptions'!$B$10*'Inputs &amp; Assumptions'!$B$12*'Inputs &amp; Assumptions'!$B$11*'Inputs &amp; Assumptions'!$B$9*1.2+'Inputs &amp; Assumptions'!$B$15+'Inputs &amp; Assumptions'!$B$18*1.15*'Inputs &amp; Assumptions'!$B$16/100+'Inputs &amp; Assumptions'!$B$17)</f>
        <v>-149551.1225</v>
      </c>
      <c r="C186" s="36" t="n">
        <f aca="false">'Inputs &amp; Assumptions'!$B$5*'Inputs &amp; Assumptions'!$B$6-('Inputs &amp; Assumptions'!$B$5*'Inputs &amp; Assumptions'!$B$8*'Inputs &amp; Assumptions'!$B$7+'Inputs &amp; Assumptions'!$B$10*'Inputs &amp; Assumptions'!$B$12*'Inputs &amp; Assumptions'!$B$11*'Inputs &amp; Assumptions'!$B$9+'Inputs &amp; Assumptions'!$B$15+'Inputs &amp; Assumptions'!$B$18*'Inputs &amp; Assumptions'!$B$16/100+'Inputs &amp; Assumptions'!$B$17)</f>
        <v>-135095.15</v>
      </c>
      <c r="D186" s="36" t="n">
        <f aca="false">'Inputs &amp; Assumptions'!$B$5*'Inputs &amp; Assumptions'!$B$6*1.2-('Inputs &amp; Assumptions'!$B$5*'Inputs &amp; Assumptions'!$B$8*0.9*'Inputs &amp; Assumptions'!$B$7*0.8+'Inputs &amp; Assumptions'!$B$10*'Inputs &amp; Assumptions'!$B$12*'Inputs &amp; Assumptions'!$B$11*'Inputs &amp; Assumptions'!$B$9*0.8+'Inputs &amp; Assumptions'!$B$15+'Inputs &amp; Assumptions'!$B$18*0.85*'Inputs &amp; Assumptions'!$B$16/100+'Inputs &amp; Assumptions'!$B$17)</f>
        <v>-120639.1775</v>
      </c>
    </row>
    <row r="189" customFormat="false" ht="15" hidden="false" customHeight="false" outlineLevel="0" collapsed="false">
      <c r="A189" s="10" t="s">
        <v>349</v>
      </c>
      <c r="B189" s="38" t="n">
        <f aca="false">B172</f>
        <v>-151618.1225</v>
      </c>
    </row>
    <row r="190" customFormat="false" ht="24" hidden="false" customHeight="true" outlineLevel="0" collapsed="false">
      <c r="A190" s="1" t="s">
        <v>375</v>
      </c>
      <c r="B190" s="1"/>
      <c r="C190" s="1"/>
      <c r="D190" s="1"/>
      <c r="E190" s="1"/>
      <c r="F190" s="1"/>
      <c r="G190" s="1"/>
      <c r="H190" s="1"/>
    </row>
    <row r="191" customFormat="false" ht="15" hidden="false" customHeight="false" outlineLevel="0" collapsed="false">
      <c r="A191" s="10" t="s">
        <v>351</v>
      </c>
      <c r="B191" s="38" t="n">
        <f aca="false">D172</f>
        <v>-118572.1775</v>
      </c>
    </row>
    <row r="192" customFormat="false" ht="15" hidden="false" customHeight="false" outlineLevel="0" collapsed="false">
      <c r="A192" s="8" t="s">
        <v>376</v>
      </c>
      <c r="B192" s="8"/>
      <c r="C192" s="8"/>
      <c r="D192" s="8"/>
      <c r="E192" s="8"/>
      <c r="F192" s="8"/>
    </row>
    <row r="193" customFormat="false" ht="15" hidden="false" customHeight="false" outlineLevel="0" collapsed="false">
      <c r="A193" s="17" t="s">
        <v>377</v>
      </c>
      <c r="B193" s="33" t="n">
        <f aca="false">'Inputs &amp; Assumptions'!$B$18</f>
        <v>1375105</v>
      </c>
    </row>
    <row r="194" customFormat="false" ht="15" hidden="false" customHeight="false" outlineLevel="0" collapsed="false">
      <c r="A194" s="17" t="s">
        <v>378</v>
      </c>
      <c r="B194" s="61" t="n">
        <f aca="false">'Inputs &amp; Assumptions'!$B$5*(B193/'Inputs &amp; Assumptions'!$B$18)^(1/'Inputs &amp; Assumptions'!$B$19)</f>
        <v>6000</v>
      </c>
    </row>
    <row r="195" customFormat="false" ht="15" hidden="false" customHeight="false" outlineLevel="0" collapsed="false">
      <c r="A195" s="11" t="s">
        <v>379</v>
      </c>
      <c r="B195" s="36" t="n">
        <f aca="false">B194*1000*'Inputs &amp; Assumptions'!$B$6</f>
        <v>0</v>
      </c>
    </row>
    <row r="196" customFormat="false" ht="15" hidden="false" customHeight="false" outlineLevel="0" collapsed="false">
      <c r="A196" s="11" t="s">
        <v>380</v>
      </c>
      <c r="B196" s="36" t="n">
        <f aca="false">FORECAST(B194,'Financial model'!$D$129:$D$144,'Financial model'!$A$129:$A$144)</f>
        <v>135095.15</v>
      </c>
    </row>
    <row r="197" customFormat="false" ht="15" hidden="false" customHeight="false" outlineLevel="0" collapsed="false">
      <c r="A197" s="17" t="s">
        <v>381</v>
      </c>
      <c r="B197" s="34" t="n">
        <f aca="false">B195-B196</f>
        <v>-135095.15</v>
      </c>
    </row>
    <row r="198" customFormat="false" ht="15" hidden="false" customHeight="false" outlineLevel="0" collapsed="false">
      <c r="A198" s="11" t="s">
        <v>382</v>
      </c>
      <c r="B198" s="59" t="str">
        <f aca="false">IF(B197&gt;0,B193/B197,"n/a (EBITDA ≤ 0)")</f>
        <v>n/a (EBITDA ≤ 0)</v>
      </c>
    </row>
    <row r="199" customFormat="false" ht="15" hidden="false" customHeight="false" outlineLevel="0" collapsed="false">
      <c r="A199" s="11" t="s">
        <v>383</v>
      </c>
      <c r="B199" s="57" t="str">
        <f aca="false">IF(B197&gt;0,IFERROR(MAX(-0.99,RATE('Inputs &amp; Assumptions'!$B$22,B197,-B193,0,0,B197/B193)),-1),"n/a")</f>
        <v>n/a</v>
      </c>
    </row>
    <row r="201" customFormat="false" ht="15" hidden="false" customHeight="true" outlineLevel="0" collapsed="false">
      <c r="A201" s="62" t="s">
        <v>384</v>
      </c>
      <c r="B201" s="62"/>
      <c r="C201" s="62"/>
      <c r="D201" s="62"/>
      <c r="E201" s="62"/>
      <c r="F201" s="62"/>
    </row>
    <row r="202" customFormat="false" ht="15" hidden="false" customHeight="false" outlineLevel="0" collapsed="false">
      <c r="A202" s="62"/>
      <c r="B202" s="62"/>
      <c r="C202" s="62"/>
      <c r="D202" s="62"/>
      <c r="E202" s="62"/>
      <c r="F202" s="62"/>
    </row>
    <row r="203" customFormat="false" ht="15" hidden="false" customHeight="false" outlineLevel="0" collapsed="false">
      <c r="A203" s="62"/>
      <c r="B203" s="62"/>
      <c r="C203" s="62"/>
      <c r="D203" s="62"/>
      <c r="E203" s="62"/>
      <c r="F203" s="62"/>
    </row>
    <row r="204" customFormat="false" ht="21.75" hidden="false" customHeight="true" outlineLevel="0" collapsed="false">
      <c r="A204" s="63" t="s">
        <v>385</v>
      </c>
      <c r="B204" s="63"/>
      <c r="C204" s="63"/>
      <c r="D204" s="63"/>
      <c r="E204" s="63"/>
      <c r="F204" s="63"/>
    </row>
    <row r="205" customFormat="false" ht="21.75" hidden="false" customHeight="true" outlineLevel="0" collapsed="false">
      <c r="A205" s="63"/>
      <c r="B205" s="63"/>
      <c r="C205" s="63"/>
      <c r="D205" s="63"/>
      <c r="E205" s="63"/>
      <c r="F205" s="63"/>
    </row>
    <row r="206" customFormat="false" ht="21.75" hidden="false" customHeight="true" outlineLevel="0" collapsed="false">
      <c r="A206" s="63"/>
      <c r="B206" s="63"/>
      <c r="C206" s="63"/>
      <c r="D206" s="63"/>
      <c r="E206" s="63"/>
      <c r="F206" s="63"/>
    </row>
    <row r="207" customFormat="false" ht="21.75" hidden="false" customHeight="true" outlineLevel="0" collapsed="false">
      <c r="A207" s="63"/>
      <c r="B207" s="63"/>
      <c r="C207" s="63"/>
      <c r="D207" s="63"/>
      <c r="E207" s="63"/>
      <c r="F207" s="63"/>
    </row>
    <row r="209" customFormat="false" ht="15" hidden="false" customHeight="false" outlineLevel="0" collapsed="false">
      <c r="A209" s="8" t="s">
        <v>386</v>
      </c>
      <c r="B209" s="8"/>
      <c r="C209" s="8"/>
      <c r="D209" s="8"/>
      <c r="E209" s="8"/>
      <c r="F209" s="8"/>
    </row>
    <row r="210" customFormat="false" ht="23.85" hidden="false" customHeight="false" outlineLevel="0" collapsed="false">
      <c r="A210" s="9" t="s">
        <v>387</v>
      </c>
      <c r="B210" s="9" t="s">
        <v>337</v>
      </c>
      <c r="C210" s="9" t="s">
        <v>388</v>
      </c>
      <c r="D210" s="9" t="s">
        <v>326</v>
      </c>
      <c r="E210" s="9" t="s">
        <v>342</v>
      </c>
      <c r="F210" s="9" t="s">
        <v>389</v>
      </c>
      <c r="G210" s="10" t="s">
        <v>20</v>
      </c>
    </row>
    <row r="211" customFormat="false" ht="85.05" hidden="false" customHeight="false" outlineLevel="0" collapsed="false">
      <c r="A211" s="32" t="s">
        <v>390</v>
      </c>
      <c r="B211" s="64" t="str">
        <f aca="false">IF(MAX('Financial model'!$E$129:$E$144)&lt;0,"none in range (all EBITDA &lt; 0)",IF(INDEX('Financial model'!$E$129:$E$144,1)&gt;=0,INDEX('Financial model'!$A$129:$A$144,1),INDEX('Financial model'!$A$129:$A$144,MATCH(0,'Financial model'!$E$129:$E$144,1)+1)))</f>
        <v>none in range (all EBITDA &lt; 0)</v>
      </c>
      <c r="C211" s="36" t="str">
        <f aca="false">IFERROR(INDEX('Financial model'!$B$129:$B$144,MATCH(B211,'Financial model'!$A$129:$A$144,0)),"—")</f>
        <v>—</v>
      </c>
      <c r="D211" s="57" t="str">
        <f aca="false">IFERROR(INDEX('Financial model'!$H$129:$H$144,MATCH(B211,'Financial model'!$A$129:$A$144,0)),"—")</f>
        <v>—</v>
      </c>
      <c r="E211" s="59" t="str">
        <f aca="false">IFERROR(INDEX('Financial model'!$F$129:$F$144,MATCH(B211,'Financial model'!$A$129:$A$144,0)),"—")</f>
        <v>—</v>
      </c>
      <c r="F211" s="15" t="s">
        <v>391</v>
      </c>
    </row>
    <row r="212" customFormat="false" ht="53.7" hidden="false" customHeight="false" outlineLevel="0" collapsed="false">
      <c r="A212" s="32" t="s">
        <v>392</v>
      </c>
      <c r="B212" s="64" t="str">
        <f aca="false">IFERROR(INDEX('Financial model'!$A$129:$A$144,MATCH('Inputs &amp; Assumptions'!$B$20/100,'Financial model'!$H$129:$H$144,1)+1),"&gt; range")</f>
        <v>&gt; range</v>
      </c>
      <c r="C212" s="36" t="str">
        <f aca="false">IFERROR(INDEX('Financial model'!$B$129:$B$144,MATCH(B212,'Financial model'!$A$129:$A$144,0)),"—")</f>
        <v>—</v>
      </c>
      <c r="D212" s="57" t="str">
        <f aca="false">IFERROR(INDEX('Financial model'!$H$129:$H$144,MATCH(B212,'Financial model'!$A$129:$A$144,0)),"—")</f>
        <v>—</v>
      </c>
      <c r="E212" s="59" t="str">
        <f aca="false">IFERROR(INDEX('Financial model'!$F$129:$F$144,MATCH(B212,'Financial model'!$A$129:$A$144,0)),"—")</f>
        <v>—</v>
      </c>
      <c r="F212" s="15" t="s">
        <v>393</v>
      </c>
      <c r="G212" s="16" t="str">
        <f aca="false">IF(AND(LEN(TRIM(A212&amp;""))&gt;0,TRIM(A212&amp;"")&lt;&gt;"—",LEN(TRIM(B212&amp;""))&gt;0,TRIM(B212&amp;"")&lt;&gt;"—",LEN(TRIM(C212&amp;""))&gt;0,TRIM(C212&amp;"")&lt;&gt;"—",LEN(TRIM(D212&amp;""))&gt;0,TRIM(D212&amp;"")&lt;&gt;"—",LEN(TRIM(E212&amp;""))&gt;0,TRIM(E212&amp;"")&lt;&gt;"—",LEN(TRIM(F212&amp;""))&gt;0,TRIM(F212&amp;"")&lt;&gt;"—"),"PASS","⚠ FAIL — "&amp;"a required cell is empty/placeholder or wrong type")</f>
        <v>⚠ FAIL — a required cell is empty/placeholder or wrong type</v>
      </c>
    </row>
    <row r="213" customFormat="false" ht="74.6" hidden="false" customHeight="false" outlineLevel="0" collapsed="false">
      <c r="A213" s="32" t="s">
        <v>394</v>
      </c>
      <c r="B213" s="64" t="str">
        <f aca="false">IFERROR(INDEX('Financial model'!$A$129:$A$144,MATCH('Inputs &amp; Assumptions'!$B$21/100,'Financial model'!$H$129:$H$144,1)+1),"&gt; range")</f>
        <v>&gt; range</v>
      </c>
      <c r="C213" s="36" t="str">
        <f aca="false">IFERROR(INDEX('Financial model'!$B$129:$B$144,MATCH(B213,'Financial model'!$A$129:$A$144,0)),"—")</f>
        <v>—</v>
      </c>
      <c r="D213" s="57" t="str">
        <f aca="false">IFERROR(INDEX('Financial model'!$H$129:$H$144,MATCH(B213,'Financial model'!$A$129:$A$144,0)),"—")</f>
        <v>—</v>
      </c>
      <c r="E213" s="59" t="str">
        <f aca="false">IFERROR(INDEX('Financial model'!$F$129:$F$144,MATCH(B213,'Financial model'!$A$129:$A$144,0)),"—")</f>
        <v>—</v>
      </c>
      <c r="F213" s="15" t="s">
        <v>395</v>
      </c>
      <c r="G213" s="16" t="str">
        <f aca="false">IF(AND(LEN(TRIM(A213&amp;""))&gt;0,TRIM(A213&amp;"")&lt;&gt;"—",LEN(TRIM(B213&amp;""))&gt;0,TRIM(B213&amp;"")&lt;&gt;"—",LEN(TRIM(C213&amp;""))&gt;0,TRIM(C213&amp;"")&lt;&gt;"—",LEN(TRIM(D213&amp;""))&gt;0,TRIM(D213&amp;"")&lt;&gt;"—",LEN(TRIM(E213&amp;""))&gt;0,TRIM(E213&amp;"")&lt;&gt;"—",LEN(TRIM(F213&amp;""))&gt;0,TRIM(F213&amp;"")&lt;&gt;"—"),"PASS","⚠ FAIL — "&amp;"a required cell is empty/placeholder or wrong type")</f>
        <v>⚠ FAIL — a required cell is empty/placeholder or wrong type</v>
      </c>
    </row>
    <row r="214" customFormat="false" ht="95.5" hidden="false" customHeight="false" outlineLevel="0" collapsed="false">
      <c r="A214" s="32" t="s">
        <v>396</v>
      </c>
      <c r="B214" s="56" t="n">
        <f aca="false">INDEX('Financial model'!$A$129:$A$144,MATCH(MAX('Financial model'!$G$129:$G$144),'Financial model'!$G$129:$G$144,0))</f>
        <v>1200</v>
      </c>
      <c r="C214" s="36" t="n">
        <f aca="false">IFERROR(INDEX('Financial model'!$B$129:$B$144,MATCH(B214,'Financial model'!$A$129:$A$144,0)),"—")</f>
        <v>275021</v>
      </c>
      <c r="D214" s="57" t="str">
        <f aca="false">IFERROR(INDEX('Financial model'!$H$129:$H$144,MATCH(B214,'Financial model'!$A$129:$A$144,0)),"—")</f>
        <v>n/a</v>
      </c>
      <c r="E214" s="59" t="str">
        <f aca="false">IFERROR(INDEX('Financial model'!$F$129:$F$144,MATCH(B214,'Financial model'!$A$129:$A$144,0)),"—")</f>
        <v>n/a</v>
      </c>
      <c r="F214" s="15" t="s">
        <v>397</v>
      </c>
      <c r="G214" s="16" t="str">
        <f aca="false">IF(AND(LEN(TRIM(A214&amp;""))&gt;0,TRIM(A214&amp;"")&lt;&gt;"—",LEN(TRIM(B214&amp;""))&gt;0,TRIM(B214&amp;"")&lt;&gt;"—",LEN(TRIM(C214&amp;""))&gt;0,TRIM(C214&amp;"")&lt;&gt;"—",LEN(TRIM(D214&amp;""))&gt;0,TRIM(D214&amp;"")&lt;&gt;"—",LEN(TRIM(E214&amp;""))&gt;0,TRIM(E214&amp;"")&lt;&gt;"—",LEN(TRIM(F214&amp;""))&gt;0,TRIM(F214&amp;"")&lt;&gt;"—"),"PASS","⚠ FAIL — "&amp;"a required cell is empty/placeholder or wrong type")</f>
        <v>PASS</v>
      </c>
    </row>
    <row r="216" customFormat="false" ht="15" hidden="false" customHeight="false" outlineLevel="0" collapsed="false">
      <c r="A216" s="8" t="s">
        <v>398</v>
      </c>
      <c r="B216" s="8"/>
      <c r="C216" s="8"/>
      <c r="D216" s="8"/>
      <c r="E216" s="8"/>
      <c r="F216" s="8"/>
    </row>
    <row r="217" customFormat="false" ht="15" hidden="false" customHeight="true" outlineLevel="0" collapsed="false">
      <c r="A217" s="65" t="s">
        <v>399</v>
      </c>
      <c r="B217" s="65"/>
      <c r="C217" s="65"/>
      <c r="D217" s="65"/>
      <c r="E217" s="65"/>
      <c r="F217" s="65"/>
    </row>
    <row r="218" customFormat="false" ht="15" hidden="false" customHeight="false" outlineLevel="0" collapsed="false">
      <c r="A218" s="65"/>
      <c r="B218" s="65"/>
      <c r="C218" s="65"/>
      <c r="D218" s="65"/>
      <c r="E218" s="65"/>
      <c r="F218" s="65"/>
    </row>
    <row r="219" customFormat="false" ht="15" hidden="false" customHeight="false" outlineLevel="0" collapsed="false">
      <c r="A219" s="65"/>
      <c r="B219" s="65"/>
      <c r="C219" s="65"/>
      <c r="D219" s="65"/>
      <c r="E219" s="65"/>
      <c r="F219" s="65"/>
    </row>
    <row r="221" customFormat="false" ht="15" hidden="false" customHeight="false" outlineLevel="0" collapsed="false">
      <c r="H221" s="17" t="s">
        <v>388</v>
      </c>
      <c r="I221" s="17" t="s">
        <v>400</v>
      </c>
      <c r="J221" s="17" t="s">
        <v>326</v>
      </c>
      <c r="K221" s="17" t="s">
        <v>401</v>
      </c>
      <c r="L221" s="17" t="s">
        <v>402</v>
      </c>
      <c r="M221" s="17" t="s">
        <v>403</v>
      </c>
      <c r="N221" s="17" t="s">
        <v>404</v>
      </c>
      <c r="O221" s="17" t="s">
        <v>313</v>
      </c>
    </row>
    <row r="222" customFormat="false" ht="15" hidden="false" customHeight="false" outlineLevel="0" collapsed="false">
      <c r="H222" s="38" t="n">
        <f aca="false">'Financial model'!B129</f>
        <v>275021</v>
      </c>
      <c r="I222" s="51" t="n">
        <f aca="false">'Financial model'!A129</f>
        <v>1200</v>
      </c>
      <c r="J222" s="66" t="n">
        <f aca="false">IFERROR(N('Financial model'!H129)+0,NA())</f>
        <v>0</v>
      </c>
      <c r="K222" s="66" t="n">
        <f aca="false">'Inputs &amp; Assumptions'!$B$20/100</f>
        <v>0.1</v>
      </c>
      <c r="L222" s="66" t="n">
        <f aca="false">'Inputs &amp; Assumptions'!$B$21/100</f>
        <v>0.15</v>
      </c>
      <c r="M222" s="38" t="n">
        <f aca="false">'Financial model'!G129</f>
        <v>-862632.53148288</v>
      </c>
      <c r="N222" s="51" t="n">
        <f aca="false">IF('Financial model'!E129&gt;0,MIN(40,'Financial model'!B129/'Financial model'!E129),40)</f>
        <v>40</v>
      </c>
      <c r="O222" s="66" t="n">
        <f aca="false">IFERROR('Financial model'!E129/'Financial model'!C129,0)</f>
        <v>0</v>
      </c>
    </row>
    <row r="223" customFormat="false" ht="15" hidden="false" customHeight="false" outlineLevel="0" collapsed="false">
      <c r="H223" s="38" t="n">
        <f aca="false">'Financial model'!B130</f>
        <v>340848.85772075</v>
      </c>
      <c r="I223" s="51" t="n">
        <f aca="false">'Financial model'!A130</f>
        <v>1487.2269</v>
      </c>
      <c r="J223" s="66" t="n">
        <f aca="false">IFERROR(N('Financial model'!H130)+0,NA())</f>
        <v>0</v>
      </c>
      <c r="K223" s="66" t="n">
        <f aca="false">'Inputs &amp; Assumptions'!$B$20/100</f>
        <v>0.1</v>
      </c>
      <c r="L223" s="66" t="n">
        <f aca="false">'Inputs &amp; Assumptions'!$B$21/100</f>
        <v>0.15</v>
      </c>
      <c r="M223" s="38" t="n">
        <f aca="false">'Financial model'!G130</f>
        <v>-962121.564950435</v>
      </c>
      <c r="N223" s="51" t="n">
        <f aca="false">IF('Financial model'!E130&gt;0,MIN(40,'Financial model'!B130/'Financial model'!E130),40)</f>
        <v>40</v>
      </c>
      <c r="O223" s="66" t="n">
        <f aca="false">IFERROR('Financial model'!E130/'Financial model'!C130,0)</f>
        <v>0</v>
      </c>
    </row>
    <row r="224" customFormat="false" ht="15" hidden="false" customHeight="false" outlineLevel="0" collapsed="false">
      <c r="H224" s="38" t="n">
        <f aca="false">'Financial model'!B131</f>
        <v>422433.01230775</v>
      </c>
      <c r="I224" s="51" t="n">
        <f aca="false">'Financial model'!A131</f>
        <v>1843.2033</v>
      </c>
      <c r="J224" s="66" t="n">
        <f aca="false">IFERROR(N('Financial model'!H131)+0,NA())</f>
        <v>0</v>
      </c>
      <c r="K224" s="66" t="n">
        <f aca="false">'Inputs &amp; Assumptions'!$B$20/100</f>
        <v>0.1</v>
      </c>
      <c r="L224" s="66" t="n">
        <f aca="false">'Inputs &amp; Assumptions'!$B$21/100</f>
        <v>0.15</v>
      </c>
      <c r="M224" s="38" t="n">
        <f aca="false">'Financial model'!G131</f>
        <v>-1085423.90179026</v>
      </c>
      <c r="N224" s="51" t="n">
        <f aca="false">IF('Financial model'!E131&gt;0,MIN(40,'Financial model'!B131/'Financial model'!E131),40)</f>
        <v>40</v>
      </c>
      <c r="O224" s="66" t="n">
        <f aca="false">IFERROR('Financial model'!E131/'Financial model'!C131,0)</f>
        <v>0</v>
      </c>
    </row>
    <row r="225" customFormat="false" ht="15" hidden="false" customHeight="false" outlineLevel="0" collapsed="false">
      <c r="H225" s="38" t="n">
        <f aca="false">'Financial model'!B132</f>
        <v>523544.803815583</v>
      </c>
      <c r="I225" s="51" t="n">
        <f aca="false">'Financial model'!A132</f>
        <v>2284.3847</v>
      </c>
      <c r="J225" s="66" t="n">
        <f aca="false">IFERROR(N('Financial model'!H132)+0,NA())</f>
        <v>0</v>
      </c>
      <c r="K225" s="66" t="n">
        <f aca="false">'Inputs &amp; Assumptions'!$B$20/100</f>
        <v>0.1</v>
      </c>
      <c r="L225" s="66" t="n">
        <f aca="false">'Inputs &amp; Assumptions'!$B$21/100</f>
        <v>0.15</v>
      </c>
      <c r="M225" s="38" t="n">
        <f aca="false">'Financial model'!G132</f>
        <v>-1238239.36256313</v>
      </c>
      <c r="N225" s="51" t="n">
        <f aca="false">IF('Financial model'!E132&gt;0,MIN(40,'Financial model'!B132/'Financial model'!E132),40)</f>
        <v>40</v>
      </c>
      <c r="O225" s="66" t="n">
        <f aca="false">IFERROR('Financial model'!E132/'Financial model'!C132,0)</f>
        <v>0</v>
      </c>
    </row>
    <row r="226" customFormat="false" ht="15" hidden="false" customHeight="false" outlineLevel="0" collapsed="false">
      <c r="H226" s="38" t="n">
        <f aca="false">'Financial model'!B133</f>
        <v>648858.2828945</v>
      </c>
      <c r="I226" s="51" t="n">
        <f aca="false">'Financial model'!A133</f>
        <v>2831.1654</v>
      </c>
      <c r="J226" s="66" t="n">
        <f aca="false">IFERROR(N('Financial model'!H133)+0,NA())</f>
        <v>0</v>
      </c>
      <c r="K226" s="66" t="n">
        <f aca="false">'Inputs &amp; Assumptions'!$B$20/100</f>
        <v>0.1</v>
      </c>
      <c r="L226" s="66" t="n">
        <f aca="false">'Inputs &amp; Assumptions'!$B$21/100</f>
        <v>0.15</v>
      </c>
      <c r="M226" s="38" t="n">
        <f aca="false">'Financial model'!G133</f>
        <v>-1427632.08086951</v>
      </c>
      <c r="N226" s="51" t="n">
        <f aca="false">IF('Financial model'!E133&gt;0,MIN(40,'Financial model'!B133/'Financial model'!E133),40)</f>
        <v>40</v>
      </c>
      <c r="O226" s="66" t="n">
        <f aca="false">IFERROR('Financial model'!E133/'Financial model'!C133,0)</f>
        <v>0</v>
      </c>
    </row>
    <row r="227" customFormat="false" ht="15" hidden="false" customHeight="false" outlineLevel="0" collapsed="false">
      <c r="H227" s="38" t="n">
        <f aca="false">'Financial model'!B134</f>
        <v>804166.28562275</v>
      </c>
      <c r="I227" s="51" t="n">
        <f aca="false">'Financial model'!A134</f>
        <v>3508.8213</v>
      </c>
      <c r="J227" s="66" t="n">
        <f aca="false">IFERROR(N('Financial model'!H134)+0,NA())</f>
        <v>0</v>
      </c>
      <c r="K227" s="66" t="n">
        <f aca="false">'Inputs &amp; Assumptions'!$B$20/100</f>
        <v>0.1</v>
      </c>
      <c r="L227" s="66" t="n">
        <f aca="false">'Inputs &amp; Assumptions'!$B$21/100</f>
        <v>0.15</v>
      </c>
      <c r="M227" s="38" t="n">
        <f aca="false">'Financial model'!G134</f>
        <v>-1662357.06837794</v>
      </c>
      <c r="N227" s="51" t="n">
        <f aca="false">IF('Financial model'!E134&gt;0,MIN(40,'Financial model'!B134/'Financial model'!E134),40)</f>
        <v>40</v>
      </c>
      <c r="O227" s="66" t="n">
        <f aca="false">IFERROR('Financial model'!E134/'Financial model'!C134,0)</f>
        <v>0</v>
      </c>
    </row>
    <row r="228" customFormat="false" ht="15" hidden="false" customHeight="false" outlineLevel="0" collapsed="false">
      <c r="H228" s="38" t="n">
        <f aca="false">'Financial model'!B135</f>
        <v>996648.143531667</v>
      </c>
      <c r="I228" s="51" t="n">
        <f aca="false">'Financial model'!A135</f>
        <v>4348.678</v>
      </c>
      <c r="J228" s="66" t="n">
        <f aca="false">IFERROR(N('Financial model'!H135)+0,NA())</f>
        <v>0</v>
      </c>
      <c r="K228" s="66" t="n">
        <f aca="false">'Inputs &amp; Assumptions'!$B$20/100</f>
        <v>0.1</v>
      </c>
      <c r="L228" s="66" t="n">
        <f aca="false">'Inputs &amp; Assumptions'!$B$21/100</f>
        <v>0.15</v>
      </c>
      <c r="M228" s="38" t="n">
        <f aca="false">'Financial model'!G135</f>
        <v>-1953264.81878103</v>
      </c>
      <c r="N228" s="51" t="n">
        <f aca="false">IF('Financial model'!E135&gt;0,MIN(40,'Financial model'!B135/'Financial model'!E135),40)</f>
        <v>40</v>
      </c>
      <c r="O228" s="66" t="n">
        <f aca="false">IFERROR('Financial model'!E135/'Financial model'!C135,0)</f>
        <v>0</v>
      </c>
    </row>
    <row r="229" customFormat="false" ht="15" hidden="false" customHeight="false" outlineLevel="0" collapsed="false">
      <c r="H229" s="38" t="n">
        <f aca="false">'Financial model'!B136</f>
        <v>1235201.63395267</v>
      </c>
      <c r="I229" s="51" t="n">
        <f aca="false">'Financial model'!A136</f>
        <v>5389.5592</v>
      </c>
      <c r="J229" s="66" t="n">
        <f aca="false">IFERROR(N('Financial model'!H136)+0,NA())</f>
        <v>0</v>
      </c>
      <c r="K229" s="66" t="n">
        <f aca="false">'Inputs &amp; Assumptions'!$B$20/100</f>
        <v>0.1</v>
      </c>
      <c r="L229" s="66" t="n">
        <f aca="false">'Inputs &amp; Assumptions'!$B$21/100</f>
        <v>0.15</v>
      </c>
      <c r="M229" s="38" t="n">
        <f aca="false">'Financial model'!G136</f>
        <v>-2313803.00146012</v>
      </c>
      <c r="N229" s="51" t="n">
        <f aca="false">IF('Financial model'!E136&gt;0,MIN(40,'Financial model'!B136/'Financial model'!E136),40)</f>
        <v>40</v>
      </c>
      <c r="O229" s="66" t="n">
        <f aca="false">IFERROR('Financial model'!E136/'Financial model'!C136,0)</f>
        <v>0</v>
      </c>
    </row>
    <row r="230" customFormat="false" ht="15" hidden="false" customHeight="false" outlineLevel="0" collapsed="false">
      <c r="H230" s="38" t="n">
        <f aca="false">'Financial model'!B137</f>
        <v>1530854.31975958</v>
      </c>
      <c r="I230" s="51" t="n">
        <f aca="false">'Financial model'!A137</f>
        <v>6679.5815</v>
      </c>
      <c r="J230" s="66" t="n">
        <f aca="false">IFERROR(N('Financial model'!H137)+0,NA())</f>
        <v>0</v>
      </c>
      <c r="K230" s="66" t="n">
        <f aca="false">'Inputs &amp; Assumptions'!$B$20/100</f>
        <v>0.1</v>
      </c>
      <c r="L230" s="66" t="n">
        <f aca="false">'Inputs &amp; Assumptions'!$B$21/100</f>
        <v>0.15</v>
      </c>
      <c r="M230" s="38" t="n">
        <f aca="false">'Financial model'!G137</f>
        <v>-2760638.14043419</v>
      </c>
      <c r="N230" s="51" t="n">
        <f aca="false">IF('Financial model'!E137&gt;0,MIN(40,'Financial model'!B137/'Financial model'!E137),40)</f>
        <v>40</v>
      </c>
      <c r="O230" s="66" t="n">
        <f aca="false">IFERROR('Financial model'!E137/'Financial model'!C137,0)</f>
        <v>0</v>
      </c>
    </row>
    <row r="231" customFormat="false" ht="15" hidden="false" customHeight="false" outlineLevel="0" collapsed="false">
      <c r="H231" s="38" t="n">
        <f aca="false">'Financial model'!B138</f>
        <v>1897273.16328167</v>
      </c>
      <c r="I231" s="51" t="n">
        <f aca="false">'Financial model'!A138</f>
        <v>8278.378</v>
      </c>
      <c r="J231" s="66" t="n">
        <f aca="false">IFERROR(N('Financial model'!H138)+0,NA())</f>
        <v>0</v>
      </c>
      <c r="K231" s="66" t="n">
        <f aca="false">'Inputs &amp; Assumptions'!$B$20/100</f>
        <v>0.1</v>
      </c>
      <c r="L231" s="66" t="n">
        <f aca="false">'Inputs &amp; Assumptions'!$B$21/100</f>
        <v>0.15</v>
      </c>
      <c r="M231" s="38" t="n">
        <f aca="false">'Financial model'!G138</f>
        <v>-3314425.82012684</v>
      </c>
      <c r="N231" s="51" t="n">
        <f aca="false">IF('Financial model'!E138&gt;0,MIN(40,'Financial model'!B138/'Financial model'!E138),40)</f>
        <v>40</v>
      </c>
      <c r="O231" s="66" t="n">
        <f aca="false">IFERROR('Financial model'!E138/'Financial model'!C138,0)</f>
        <v>0</v>
      </c>
    </row>
    <row r="232" customFormat="false" ht="15" hidden="false" customHeight="false" outlineLevel="0" collapsed="false">
      <c r="H232" s="38" t="n">
        <f aca="false">'Financial model'!B139</f>
        <v>2351396.47872475</v>
      </c>
      <c r="I232" s="51" t="n">
        <f aca="false">'Financial model'!A139</f>
        <v>10259.8557</v>
      </c>
      <c r="J232" s="66" t="n">
        <f aca="false">IFERROR(N('Financial model'!H139)+0,NA())</f>
        <v>0</v>
      </c>
      <c r="K232" s="66" t="n">
        <f aca="false">'Inputs &amp; Assumptions'!$B$20/100</f>
        <v>0.1</v>
      </c>
      <c r="L232" s="66" t="n">
        <f aca="false">'Inputs &amp; Assumptions'!$B$21/100</f>
        <v>0.15</v>
      </c>
      <c r="M232" s="38" t="n">
        <f aca="false">'Financial model'!G139</f>
        <v>-4000765.78762471</v>
      </c>
      <c r="N232" s="51" t="n">
        <f aca="false">IF('Financial model'!E139&gt;0,MIN(40,'Financial model'!B139/'Financial model'!E139),40)</f>
        <v>40</v>
      </c>
      <c r="O232" s="66" t="n">
        <f aca="false">IFERROR('Financial model'!E139/'Financial model'!C139,0)</f>
        <v>0</v>
      </c>
    </row>
    <row r="233" customFormat="false" ht="15" hidden="false" customHeight="false" outlineLevel="0" collapsed="false">
      <c r="H233" s="38" t="n">
        <f aca="false">'Financial model'!B140</f>
        <v>2914216.848203</v>
      </c>
      <c r="I233" s="51" t="n">
        <f aca="false">'Financial model'!A140</f>
        <v>12715.6116</v>
      </c>
      <c r="J233" s="66" t="n">
        <f aca="false">IFERROR(N('Financial model'!H140)+0,NA())</f>
        <v>0</v>
      </c>
      <c r="K233" s="66" t="n">
        <f aca="false">'Inputs &amp; Assumptions'!$B$20/100</f>
        <v>0.1</v>
      </c>
      <c r="L233" s="66" t="n">
        <f aca="false">'Inputs &amp; Assumptions'!$B$21/100</f>
        <v>0.15</v>
      </c>
      <c r="M233" s="38" t="n">
        <f aca="false">'Financial model'!G140</f>
        <v>-4851385.21401983</v>
      </c>
      <c r="N233" s="51" t="n">
        <f aca="false">IF('Financial model'!E140&gt;0,MIN(40,'Financial model'!B140/'Financial model'!E140),40)</f>
        <v>40</v>
      </c>
      <c r="O233" s="66" t="n">
        <f aca="false">IFERROR('Financial model'!E140/'Financial model'!C140,0)</f>
        <v>0</v>
      </c>
    </row>
    <row r="234" customFormat="false" ht="15" hidden="false" customHeight="false" outlineLevel="0" collapsed="false">
      <c r="H234" s="38" t="n">
        <f aca="false">'Financial model'!B141</f>
        <v>3611751.510419</v>
      </c>
      <c r="I234" s="51" t="n">
        <f aca="false">'Financial model'!A141</f>
        <v>15759.1668</v>
      </c>
      <c r="J234" s="66" t="n">
        <f aca="false">IFERROR(N('Financial model'!H141)+0,NA())</f>
        <v>0</v>
      </c>
      <c r="K234" s="66" t="n">
        <f aca="false">'Inputs &amp; Assumptions'!$B$20/100</f>
        <v>0.1</v>
      </c>
      <c r="L234" s="66" t="n">
        <f aca="false">'Inputs &amp; Assumptions'!$B$21/100</f>
        <v>0.15</v>
      </c>
      <c r="M234" s="38" t="n">
        <f aca="false">'Financial model'!G141</f>
        <v>-5905605.29282565</v>
      </c>
      <c r="N234" s="51" t="n">
        <f aca="false">IF('Financial model'!E141&gt;0,MIN(40,'Financial model'!B141/'Financial model'!E141),40)</f>
        <v>40</v>
      </c>
      <c r="O234" s="66" t="n">
        <f aca="false">IFERROR('Financial model'!E141/'Financial model'!C141,0)</f>
        <v>0</v>
      </c>
    </row>
    <row r="235" customFormat="false" ht="15" hidden="false" customHeight="false" outlineLevel="0" collapsed="false">
      <c r="H235" s="38" t="n">
        <f aca="false">'Financial model'!B142</f>
        <v>4476245.16500725</v>
      </c>
      <c r="I235" s="51" t="n">
        <f aca="false">'Financial model'!A142</f>
        <v>19531.2147</v>
      </c>
      <c r="J235" s="66" t="n">
        <f aca="false">IFERROR(N('Financial model'!H142)+0,NA())</f>
        <v>0</v>
      </c>
      <c r="K235" s="66" t="n">
        <f aca="false">'Inputs &amp; Assumptions'!$B$20/100</f>
        <v>0.1</v>
      </c>
      <c r="L235" s="66" t="n">
        <f aca="false">'Inputs &amp; Assumptions'!$B$21/100</f>
        <v>0.15</v>
      </c>
      <c r="M235" s="38" t="n">
        <f aca="false">'Financial model'!G142</f>
        <v>-7212159.10016167</v>
      </c>
      <c r="N235" s="51" t="n">
        <f aca="false">IF('Financial model'!E142&gt;0,MIN(40,'Financial model'!B142/'Financial model'!E142),40)</f>
        <v>40</v>
      </c>
      <c r="O235" s="66" t="n">
        <f aca="false">IFERROR('Financial model'!E142/'Financial model'!C142,0)</f>
        <v>0</v>
      </c>
    </row>
    <row r="236" customFormat="false" ht="15" hidden="false" customHeight="false" outlineLevel="0" collapsed="false">
      <c r="H236" s="38" t="n">
        <f aca="false">'Financial model'!B143</f>
        <v>5547660.35717</v>
      </c>
      <c r="I236" s="51" t="n">
        <f aca="false">'Financial model'!A143</f>
        <v>24206.124</v>
      </c>
      <c r="J236" s="66" t="n">
        <f aca="false">IFERROR(N('Financial model'!H143)+0,NA())</f>
        <v>0</v>
      </c>
      <c r="K236" s="66" t="n">
        <f aca="false">'Inputs &amp; Assumptions'!$B$20/100</f>
        <v>0.1</v>
      </c>
      <c r="L236" s="66" t="n">
        <f aca="false">'Inputs &amp; Assumptions'!$B$21/100</f>
        <v>0.15</v>
      </c>
      <c r="M236" s="38" t="n">
        <f aca="false">'Financial model'!G143</f>
        <v>-8831444.0898527</v>
      </c>
      <c r="N236" s="51" t="n">
        <f aca="false">IF('Financial model'!E143&gt;0,MIN(40,'Financial model'!B143/'Financial model'!E143),40)</f>
        <v>40</v>
      </c>
      <c r="O236" s="66" t="n">
        <f aca="false">IFERROR('Financial model'!E143/'Financial model'!C143,0)</f>
        <v>0</v>
      </c>
    </row>
    <row r="237" customFormat="false" ht="15" hidden="false" customHeight="false" outlineLevel="0" collapsed="false">
      <c r="H237" s="38" t="n">
        <f aca="false">'Financial model'!B144</f>
        <v>6875525</v>
      </c>
      <c r="I237" s="51" t="n">
        <f aca="false">'Financial model'!A144</f>
        <v>30000</v>
      </c>
      <c r="J237" s="66" t="n">
        <f aca="false">IFERROR(N('Financial model'!H144)+0,NA())</f>
        <v>0</v>
      </c>
      <c r="K237" s="66" t="n">
        <f aca="false">'Inputs &amp; Assumptions'!$B$20/100</f>
        <v>0.1</v>
      </c>
      <c r="L237" s="66" t="n">
        <f aca="false">'Inputs &amp; Assumptions'!$B$21/100</f>
        <v>0.15</v>
      </c>
      <c r="M237" s="38" t="n">
        <f aca="false">'Financial model'!G144</f>
        <v>-10838314.3491177</v>
      </c>
      <c r="N237" s="51" t="n">
        <f aca="false">IF('Financial model'!E144&gt;0,MIN(40,'Financial model'!B144/'Financial model'!E144),40)</f>
        <v>40</v>
      </c>
      <c r="O237" s="66" t="n">
        <f aca="false">IFERROR('Financial model'!E144/'Financial model'!C144,0)</f>
        <v>0</v>
      </c>
    </row>
  </sheetData>
  <mergeCells count="29">
    <mergeCell ref="A1:H1"/>
    <mergeCell ref="A2:H2"/>
    <mergeCell ref="A3:H3"/>
    <mergeCell ref="A4:H4"/>
    <mergeCell ref="A5:H5"/>
    <mergeCell ref="A18:H18"/>
    <mergeCell ref="A20:H20"/>
    <mergeCell ref="A21:H22"/>
    <mergeCell ref="A33:H33"/>
    <mergeCell ref="A65:H65"/>
    <mergeCell ref="A67:H68"/>
    <mergeCell ref="A70:H70"/>
    <mergeCell ref="A72:D72"/>
    <mergeCell ref="A83:D83"/>
    <mergeCell ref="A87:D87"/>
    <mergeCell ref="A113:D113"/>
    <mergeCell ref="A125:H125"/>
    <mergeCell ref="A127:H127"/>
    <mergeCell ref="A146:H146"/>
    <mergeCell ref="A165:H165"/>
    <mergeCell ref="A174:H174"/>
    <mergeCell ref="A183:H183"/>
    <mergeCell ref="A190:H190"/>
    <mergeCell ref="A192:F192"/>
    <mergeCell ref="A201:F203"/>
    <mergeCell ref="A204:F207"/>
    <mergeCell ref="A209:F209"/>
    <mergeCell ref="A216:F216"/>
    <mergeCell ref="A217:F219"/>
  </mergeCells>
  <conditionalFormatting sqref="B81">
    <cfRule type="cellIs" priority="2" operator="lessThan" aboveAverage="0" equalAverage="0" bottom="0" percent="0" rank="0" text="" dxfId="0">
      <formula>0</formula>
    </cfRule>
  </conditionalFormatting>
  <conditionalFormatting sqref="E129:E144">
    <cfRule type="cellIs" priority="3" operator="lessThan" aboveAverage="0" equalAverage="0" bottom="0" percent="0" rank="0" text="" dxfId="0">
      <formula>0</formula>
    </cfRule>
  </conditionalFormatting>
  <hyperlinks>
    <hyperlink ref="I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F5597"/>
    <outlinePr summaryBelow="0"/>
    <pageSetUpPr fitToPage="false"/>
  </sheetPr>
  <dimension ref="A1:Q4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1" outlineLevelCol="0"/>
  <cols>
    <col collapsed="false" customWidth="true" hidden="false" outlineLevel="0" max="1" min="1" style="0" width="12"/>
    <col collapsed="false" customWidth="true" hidden="false" outlineLevel="0" max="2" min="2" style="0" width="46"/>
    <col collapsed="false" customWidth="true" hidden="false" outlineLevel="0" max="3" min="3" style="0" width="8"/>
    <col collapsed="false" customWidth="true" hidden="false" outlineLevel="0" max="5" min="4" style="0" width="12"/>
    <col collapsed="false" customWidth="true" hidden="false" outlineLevel="0" max="6" min="6" style="0" width="18"/>
    <col collapsed="false" customWidth="true" hidden="false" outlineLevel="0" max="7" min="7" style="0" width="30"/>
    <col collapsed="false" customWidth="true" hidden="false" outlineLevel="0" max="8" min="8" style="0" width="22"/>
    <col collapsed="false" customWidth="true" hidden="false" outlineLevel="0" max="9" min="9" style="0" width="10"/>
    <col collapsed="false" customWidth="true" hidden="false" outlineLevel="0" max="10" min="10" style="0" width="12"/>
    <col collapsed="false" customWidth="true" hidden="false" outlineLevel="0" max="11" min="11" style="0" width="30"/>
    <col collapsed="false" customWidth="true" hidden="false" outlineLevel="0" max="12" min="12" style="0" width="22"/>
    <col collapsed="false" customWidth="true" hidden="false" outlineLevel="0" max="13" min="13" style="0" width="50"/>
    <col collapsed="false" customWidth="true" hidden="false" outlineLevel="0" max="14" min="14" style="0" width="30"/>
    <col collapsed="false" customWidth="true" hidden="false" outlineLevel="0" max="15" min="15" style="0" width="34"/>
    <col collapsed="false" customWidth="true" hidden="false" outlineLevel="0" max="16" min="16" style="0" width="13"/>
  </cols>
  <sheetData>
    <row r="1" customFormat="false" ht="25.5" hidden="false" customHeight="true" outlineLevel="0" collapsed="false">
      <c r="A1" s="1" t="s">
        <v>93</v>
      </c>
      <c r="B1" s="1"/>
      <c r="C1" s="1"/>
      <c r="D1" s="1"/>
      <c r="E1" s="1"/>
      <c r="F1" s="1"/>
      <c r="G1" s="1"/>
      <c r="H1" s="1"/>
      <c r="I1" s="1"/>
      <c r="J1" s="1"/>
      <c r="K1" s="1"/>
      <c r="L1" s="1"/>
      <c r="M1" s="1"/>
      <c r="N1" s="1"/>
      <c r="O1" s="1"/>
      <c r="P1" s="24" t="s">
        <v>140</v>
      </c>
    </row>
    <row r="2" customFormat="false" ht="30" hidden="false" customHeight="true" outlineLevel="0" collapsed="false">
      <c r="A2" s="2" t="str">
        <f aca="false">"⬤ TAB QUALITY "&amp;IF(ISNUMBER('Quality &amp; Audit'!$B$31),IF('Quality &amp; Audit'!$B$31=INT('Quality &amp; Audit'!$B$31),TEXT('Quality &amp; Audit'!$B$31,"0"),TEXT('Quality &amp; Audit'!$B$31,"0.0")),"—")&amp;"/10 · "&amp;IF(ISNUMBER('Quality &amp; Audit'!$B$31),IF('Quality &amp; Audit'!$B$31&gt;=8,"PASS","FAIL"),"UNSCORED")&amp;" (target ≥8, live from the Quality &amp; Audit score cell)"&amp;" · column-contract arithmetic: 10 × 435/435 rows passing; content checks: BoM ledger column contract (per-row Row check) — cell completeness+type contract 3038/3061 · score…"&amp;" · full audit: Quality &amp; Audit tab"</f>
        <v>⬤ TAB QUALITY 8/10 · PASS (target ≥8, live from the Quality &amp; Audit score cell) · column-contract arithmetic: 10 × 435/435 rows passing; content checks: BoM ledger column contract (per-row Row check) — cell completeness+type contract 3038/3061 · score… · full audit: Quality &amp; Audit tab</v>
      </c>
      <c r="B2" s="2"/>
      <c r="C2" s="2"/>
      <c r="D2" s="2"/>
      <c r="E2" s="2"/>
      <c r="F2" s="2"/>
      <c r="G2" s="2"/>
      <c r="H2" s="2"/>
      <c r="I2" s="2"/>
      <c r="J2" s="2"/>
      <c r="K2" s="2"/>
      <c r="L2" s="2"/>
      <c r="M2" s="2"/>
      <c r="N2" s="2"/>
      <c r="O2" s="2"/>
    </row>
    <row r="3" customFormat="false" ht="66.75" hidden="false" customHeight="true" outlineLevel="0" collapsed="false">
      <c r="A3" s="3" t="s">
        <v>405</v>
      </c>
      <c r="B3" s="3"/>
      <c r="C3" s="3"/>
      <c r="D3" s="3"/>
      <c r="E3" s="3"/>
      <c r="F3" s="3"/>
      <c r="G3" s="3"/>
      <c r="H3" s="3"/>
      <c r="I3" s="3"/>
      <c r="J3" s="3"/>
      <c r="K3" s="3"/>
      <c r="L3" s="3"/>
      <c r="M3" s="3"/>
      <c r="N3" s="3"/>
      <c r="O3" s="3"/>
    </row>
    <row r="4" customFormat="false" ht="26.1" hidden="false" customHeight="false" outlineLevel="0" collapsed="false">
      <c r="A4" s="9" t="s">
        <v>406</v>
      </c>
      <c r="B4" s="9" t="s">
        <v>254</v>
      </c>
      <c r="C4" s="9" t="s">
        <v>407</v>
      </c>
      <c r="D4" s="9" t="s">
        <v>408</v>
      </c>
      <c r="E4" s="9" t="s">
        <v>409</v>
      </c>
      <c r="F4" s="9" t="s">
        <v>410</v>
      </c>
      <c r="G4" s="9" t="s">
        <v>411</v>
      </c>
      <c r="H4" s="9" t="s">
        <v>412</v>
      </c>
      <c r="I4" s="9" t="s">
        <v>413</v>
      </c>
      <c r="J4" s="9" t="s">
        <v>414</v>
      </c>
      <c r="K4" s="9" t="s">
        <v>415</v>
      </c>
      <c r="L4" s="9" t="s">
        <v>416</v>
      </c>
      <c r="M4" s="9" t="s">
        <v>417</v>
      </c>
      <c r="N4" s="9" t="s">
        <v>418</v>
      </c>
      <c r="O4" s="9" t="s">
        <v>419</v>
      </c>
      <c r="P4" s="67" t="s">
        <v>420</v>
      </c>
      <c r="Q4" s="10" t="s">
        <v>20</v>
      </c>
    </row>
    <row r="5" customFormat="false" ht="32.8" hidden="false" customHeight="false" outlineLevel="0" collapsed="false">
      <c r="A5" s="11" t="str">
        <f aca="false">'Part names'!$A$29</f>
        <v>X-105</v>
      </c>
      <c r="B5" s="68" t="str">
        <f aca="false">'Part names'!$B$29</f>
        <v>Electrical Control Panel</v>
      </c>
      <c r="C5" s="28" t="n">
        <v>1</v>
      </c>
      <c r="D5" s="36" t="n">
        <v>672</v>
      </c>
      <c r="E5" s="36" t="n">
        <v>672</v>
      </c>
      <c r="F5" s="11" t="s">
        <v>421</v>
      </c>
      <c r="G5" s="15" t="s">
        <v>422</v>
      </c>
      <c r="H5" s="15" t="s">
        <v>421</v>
      </c>
      <c r="I5" s="11" t="n">
        <v>2</v>
      </c>
      <c r="J5" s="11" t="s">
        <v>423</v>
      </c>
      <c r="K5" s="15" t="s">
        <v>424</v>
      </c>
      <c r="L5" s="15" t="s">
        <v>425</v>
      </c>
      <c r="M5" s="15" t="s">
        <v>421</v>
      </c>
      <c r="N5" s="68" t="s">
        <v>426</v>
      </c>
      <c r="O5" s="69" t="str">
        <f aca="false">IF(AND(LEN(TRIM($B5&amp;""))&gt;0,ISNUMBER($C5),$C5&gt;0,ISNUMBER($D5),$D5&gt;0,ISNUMBER($E5),$E5&gt;0,ABS($E5-$C5*$D5)&lt;=MAX(1,0.005*ABS($E5)),LEN(TRIM($M5&amp;""))&gt;0,TRIM($M5&amp;"")&lt;&gt;"—",LEN(TRIM($P5&amp;""))=0),"PASS","FAIL — "&amp;IF(LEN(TRIM($P5&amp;""))&gt;0,TRIM($P5&amp;""),"line ≠ qty×unit, a required cell empty, or qty/£ non-positive"))</f>
        <v>PASS</v>
      </c>
      <c r="P5" s="70"/>
      <c r="Q5" s="16" t="str">
        <f aca="false">IF(AND(LEN(TRIM(A5&amp;""))&gt;0,TRIM(A5&amp;"")&lt;&gt;"—",LEN(TRIM(B5&amp;""))&gt;0,TRIM(B5&amp;"")&lt;&gt;"—",LEN(TRIM(C5&amp;""))&gt;0,TRIM(C5&amp;"")&lt;&gt;"—",ISNUMBER(C5),LEN(TRIM(D5&amp;""))&gt;0,TRIM(D5&amp;"")&lt;&gt;"—",ISNUMBER(D5),LEN(TRIM(E5&amp;""))&gt;0,TRIM(E5&amp;"")&lt;&gt;"—",ISNUMBER(E5),LEN(TRIM(F5&amp;""))&gt;0,TRIM(F5&amp;"")&lt;&gt;"—",LEN(TRIM(I5&amp;""))&gt;0,TRIM(I5&amp;"")&lt;&gt;"—",LEN(TRIM(J5&amp;""))&gt;0,TRIM(J5&amp;"")&lt;&gt;"—",LEN(TRIM(O5&amp;""))&gt;0,TRIM(O5&amp;"")&lt;&gt;"—"),"PASS","⚠ FAIL — "&amp;"a required cell is empty/placeholder or wrong type")</f>
        <v>PASS</v>
      </c>
    </row>
    <row r="6" customFormat="false" ht="32.8" hidden="false" customHeight="false" outlineLevel="0" collapsed="false">
      <c r="A6" s="11" t="str">
        <f aca="false">'Part names'!$A$15</f>
        <v>X-106 / X-110</v>
      </c>
      <c r="B6" s="68" t="str">
        <f aca="false">'Part names'!$B$15</f>
        <v>Circuit Breaker</v>
      </c>
      <c r="C6" s="28" t="n">
        <v>2</v>
      </c>
      <c r="D6" s="36" t="n">
        <v>283</v>
      </c>
      <c r="E6" s="36" t="n">
        <v>566</v>
      </c>
      <c r="F6" s="11" t="s">
        <v>421</v>
      </c>
      <c r="G6" s="15" t="s">
        <v>422</v>
      </c>
      <c r="H6" s="15" t="s">
        <v>421</v>
      </c>
      <c r="I6" s="11" t="n">
        <v>2</v>
      </c>
      <c r="J6" s="11" t="s">
        <v>423</v>
      </c>
      <c r="K6" s="15" t="s">
        <v>427</v>
      </c>
      <c r="L6" s="15" t="s">
        <v>425</v>
      </c>
      <c r="M6" s="15" t="s">
        <v>421</v>
      </c>
      <c r="N6" s="68" t="s">
        <v>428</v>
      </c>
      <c r="O6" s="69" t="str">
        <f aca="false">IF(AND(LEN(TRIM($B6&amp;""))&gt;0,ISNUMBER($C6),$C6&gt;0,ISNUMBER($D6),$D6&gt;0,ISNUMBER($E6),$E6&gt;0,ABS($E6-$C6*$D6)&lt;=MAX(1,0.005*ABS($E6)),LEN(TRIM($M6&amp;""))&gt;0,TRIM($M6&amp;"")&lt;&gt;"—",LEN(TRIM($P6&amp;""))=0),"PASS","FAIL — "&amp;IF(LEN(TRIM($P6&amp;""))&gt;0,TRIM($P6&amp;""),"line ≠ qty×unit, a required cell empty, or qty/£ non-positive"))</f>
        <v>PASS</v>
      </c>
      <c r="P6" s="70"/>
      <c r="Q6" s="16" t="str">
        <f aca="false">IF(AND(LEN(TRIM(A6&amp;""))&gt;0,TRIM(A6&amp;"")&lt;&gt;"—",LEN(TRIM(B6&amp;""))&gt;0,TRIM(B6&amp;"")&lt;&gt;"—",LEN(TRIM(C6&amp;""))&gt;0,TRIM(C6&amp;"")&lt;&gt;"—",ISNUMBER(C6),LEN(TRIM(D6&amp;""))&gt;0,TRIM(D6&amp;"")&lt;&gt;"—",ISNUMBER(D6),LEN(TRIM(E6&amp;""))&gt;0,TRIM(E6&amp;"")&lt;&gt;"—",ISNUMBER(E6),LEN(TRIM(F6&amp;""))&gt;0,TRIM(F6&amp;"")&lt;&gt;"—",LEN(TRIM(I6&amp;""))&gt;0,TRIM(I6&amp;"")&lt;&gt;"—",LEN(TRIM(J6&amp;""))&gt;0,TRIM(J6&amp;"")&lt;&gt;"—",LEN(TRIM(O6&amp;""))&gt;0,TRIM(O6&amp;"")&lt;&gt;"—"),"PASS","⚠ FAIL — "&amp;"a required cell is empty/placeholder or wrong type")</f>
        <v>PASS</v>
      </c>
    </row>
    <row r="7" customFormat="false" ht="32.8" hidden="false" customHeight="false" outlineLevel="0" collapsed="false">
      <c r="A7" s="11" t="str">
        <f aca="false">'Part names'!$A$63</f>
        <v>X-107</v>
      </c>
      <c r="B7" s="68" t="str">
        <f aca="false">'Part names'!$B$63</f>
        <v>Motor Starter</v>
      </c>
      <c r="C7" s="28" t="n">
        <v>1</v>
      </c>
      <c r="D7" s="36" t="n">
        <v>183</v>
      </c>
      <c r="E7" s="36" t="n">
        <v>183</v>
      </c>
      <c r="F7" s="11" t="s">
        <v>429</v>
      </c>
      <c r="G7" s="15" t="s">
        <v>430</v>
      </c>
      <c r="H7" s="15" t="s">
        <v>431</v>
      </c>
      <c r="I7" s="11" t="n">
        <v>4</v>
      </c>
      <c r="J7" s="11" t="s">
        <v>432</v>
      </c>
      <c r="K7" s="15" t="s">
        <v>433</v>
      </c>
      <c r="L7" s="15" t="s">
        <v>425</v>
      </c>
      <c r="M7" s="15" t="s">
        <v>434</v>
      </c>
      <c r="N7" s="71" t="s">
        <v>435</v>
      </c>
      <c r="O7" s="69" t="str">
        <f aca="false">IF(AND(LEN(TRIM($B7&amp;""))&gt;0,ISNUMBER($C7),$C7&gt;0,ISNUMBER($D7),$D7&gt;0,ISNUMBER($E7),$E7&gt;0,ABS($E7-$C7*$D7)&lt;=MAX(1,0.005*ABS($E7)),LEN(TRIM($M7&amp;""))&gt;0,TRIM($M7&amp;"")&lt;&gt;"—",LEN(TRIM($P7&amp;""))=0),"PASS","FAIL — "&amp;IF(LEN(TRIM($P7&amp;""))&gt;0,TRIM($P7&amp;""),"line ≠ qty×unit, a required cell empty, or qty/£ non-positive"))</f>
        <v>PASS</v>
      </c>
      <c r="P7" s="70"/>
      <c r="Q7" s="16" t="str">
        <f aca="false">IF(AND(LEN(TRIM(A7&amp;""))&gt;0,TRIM(A7&amp;"")&lt;&gt;"—",LEN(TRIM(B7&amp;""))&gt;0,TRIM(B7&amp;"")&lt;&gt;"—",LEN(TRIM(C7&amp;""))&gt;0,TRIM(C7&amp;"")&lt;&gt;"—",ISNUMBER(C7),LEN(TRIM(D7&amp;""))&gt;0,TRIM(D7&amp;"")&lt;&gt;"—",ISNUMBER(D7),LEN(TRIM(E7&amp;""))&gt;0,TRIM(E7&amp;"")&lt;&gt;"—",ISNUMBER(E7),LEN(TRIM(F7&amp;""))&gt;0,TRIM(F7&amp;"")&lt;&gt;"—",LEN(TRIM(I7&amp;""))&gt;0,TRIM(I7&amp;"")&lt;&gt;"—",LEN(TRIM(J7&amp;""))&gt;0,TRIM(J7&amp;"")&lt;&gt;"—",LEN(TRIM(O7&amp;""))&gt;0,TRIM(O7&amp;"")&lt;&gt;"—"),"PASS","⚠ FAIL — "&amp;"a required cell is empty/placeholder or wrong type")</f>
        <v>PASS</v>
      </c>
    </row>
    <row r="8" customFormat="false" ht="32.8" hidden="false" customHeight="false" outlineLevel="0" collapsed="false">
      <c r="A8" s="11" t="str">
        <f aca="false">'Part names'!$A$93</f>
        <v>X-108 / X-111</v>
      </c>
      <c r="B8" s="68" t="str">
        <f aca="false">'Part names'!$B$93</f>
        <v>Terminal Block</v>
      </c>
      <c r="C8" s="28" t="n">
        <v>2</v>
      </c>
      <c r="D8" s="36" t="n">
        <v>2</v>
      </c>
      <c r="E8" s="36" t="n">
        <v>4</v>
      </c>
      <c r="F8" s="11" t="s">
        <v>436</v>
      </c>
      <c r="G8" s="15" t="s">
        <v>437</v>
      </c>
      <c r="H8" s="15" t="s">
        <v>438</v>
      </c>
      <c r="I8" s="11" t="n">
        <v>5</v>
      </c>
      <c r="J8" s="11" t="s">
        <v>432</v>
      </c>
      <c r="K8" s="15" t="s">
        <v>439</v>
      </c>
      <c r="L8" s="15" t="s">
        <v>425</v>
      </c>
      <c r="M8" s="15" t="s">
        <v>440</v>
      </c>
      <c r="N8" s="15" t="s">
        <v>441</v>
      </c>
      <c r="O8" s="69" t="str">
        <f aca="false">IF(AND(LEN(TRIM($B8&amp;""))&gt;0,ISNUMBER($C8),$C8&gt;0,ISNUMBER($D8),$D8&gt;0,ISNUMBER($E8),$E8&gt;0,ABS($E8-$C8*$D8)&lt;=MAX(1,0.005*ABS($E8)),LEN(TRIM($M8&amp;""))&gt;0,TRIM($M8&amp;"")&lt;&gt;"—",LEN(TRIM($P8&amp;""))=0),"PASS","FAIL — "&amp;IF(LEN(TRIM($P8&amp;""))&gt;0,TRIM($P8&amp;""),"line ≠ qty×unit, a required cell empty, or qty/£ non-positive"))</f>
        <v>PASS</v>
      </c>
      <c r="P8" s="70"/>
      <c r="Q8" s="16" t="str">
        <f aca="false">IF(AND(LEN(TRIM(A8&amp;""))&gt;0,TRIM(A8&amp;"")&lt;&gt;"—",LEN(TRIM(B8&amp;""))&gt;0,TRIM(B8&amp;"")&lt;&gt;"—",LEN(TRIM(C8&amp;""))&gt;0,TRIM(C8&amp;"")&lt;&gt;"—",ISNUMBER(C8),LEN(TRIM(D8&amp;""))&gt;0,TRIM(D8&amp;"")&lt;&gt;"—",ISNUMBER(D8),LEN(TRIM(E8&amp;""))&gt;0,TRIM(E8&amp;"")&lt;&gt;"—",ISNUMBER(E8),LEN(TRIM(F8&amp;""))&gt;0,TRIM(F8&amp;"")&lt;&gt;"—",LEN(TRIM(I8&amp;""))&gt;0,TRIM(I8&amp;"")&lt;&gt;"—",LEN(TRIM(J8&amp;""))&gt;0,TRIM(J8&amp;"")&lt;&gt;"—",LEN(TRIM(O8&amp;""))&gt;0,TRIM(O8&amp;"")&lt;&gt;"—"),"PASS","⚠ FAIL — "&amp;"a required cell is empty/placeholder or wrong type")</f>
        <v>PASS</v>
      </c>
    </row>
    <row r="9" customFormat="false" ht="32.8" hidden="false" customHeight="false" outlineLevel="0" collapsed="false">
      <c r="A9" s="11" t="str">
        <f aca="false">'Part names'!$A$6</f>
        <v>D-101</v>
      </c>
      <c r="B9" s="68" t="str">
        <f aca="false">'Part names'!$B$6</f>
        <v>3 Phase Power Input</v>
      </c>
      <c r="C9" s="28" t="n">
        <v>1</v>
      </c>
      <c r="D9" s="36" t="n">
        <v>148</v>
      </c>
      <c r="E9" s="36" t="n">
        <v>148</v>
      </c>
      <c r="F9" s="11" t="s">
        <v>421</v>
      </c>
      <c r="G9" s="15" t="s">
        <v>422</v>
      </c>
      <c r="H9" s="15" t="s">
        <v>421</v>
      </c>
      <c r="I9" s="11" t="n">
        <v>2</v>
      </c>
      <c r="J9" s="11" t="s">
        <v>423</v>
      </c>
      <c r="K9" s="15" t="s">
        <v>442</v>
      </c>
      <c r="L9" s="15" t="s">
        <v>425</v>
      </c>
      <c r="M9" s="15" t="s">
        <v>421</v>
      </c>
      <c r="N9" s="68" t="s">
        <v>443</v>
      </c>
      <c r="O9" s="69" t="str">
        <f aca="false">IF(AND(LEN(TRIM($B9&amp;""))&gt;0,ISNUMBER($C9),$C9&gt;0,ISNUMBER($D9),$D9&gt;0,ISNUMBER($E9),$E9&gt;0,ABS($E9-$C9*$D9)&lt;=MAX(1,0.005*ABS($E9)),LEN(TRIM($M9&amp;""))&gt;0,TRIM($M9&amp;"")&lt;&gt;"—",LEN(TRIM($P9&amp;""))=0),"PASS","FAIL — "&amp;IF(LEN(TRIM($P9&amp;""))&gt;0,TRIM($P9&amp;""),"line ≠ qty×unit, a required cell empty, or qty/£ non-positive"))</f>
        <v>PASS</v>
      </c>
      <c r="P9" s="70"/>
      <c r="Q9" s="16" t="str">
        <f aca="false">IF(AND(LEN(TRIM(A9&amp;""))&gt;0,TRIM(A9&amp;"")&lt;&gt;"—",LEN(TRIM(B9&amp;""))&gt;0,TRIM(B9&amp;"")&lt;&gt;"—",LEN(TRIM(C9&amp;""))&gt;0,TRIM(C9&amp;"")&lt;&gt;"—",ISNUMBER(C9),LEN(TRIM(D9&amp;""))&gt;0,TRIM(D9&amp;"")&lt;&gt;"—",ISNUMBER(D9),LEN(TRIM(E9&amp;""))&gt;0,TRIM(E9&amp;"")&lt;&gt;"—",ISNUMBER(E9),LEN(TRIM(F9&amp;""))&gt;0,TRIM(F9&amp;"")&lt;&gt;"—",LEN(TRIM(I9&amp;""))&gt;0,TRIM(I9&amp;"")&lt;&gt;"—",LEN(TRIM(J9&amp;""))&gt;0,TRIM(J9&amp;"")&lt;&gt;"—",LEN(TRIM(O9&amp;""))&gt;0,TRIM(O9&amp;"")&lt;&gt;"—"),"PASS","⚠ FAIL — "&amp;"a required cell is empty/placeholder or wrong type")</f>
        <v>PASS</v>
      </c>
    </row>
    <row r="10" customFormat="false" ht="32.8" hidden="false" customHeight="false" outlineLevel="0" collapsed="false">
      <c r="A10" s="11" t="str">
        <f aca="false">'Part names'!$A$21</f>
        <v>X-109</v>
      </c>
      <c r="B10" s="68" t="str">
        <f aca="false">'Part names'!$B$21</f>
        <v>DC Power Cabling</v>
      </c>
      <c r="C10" s="28" t="n">
        <v>1</v>
      </c>
      <c r="D10" s="36" t="n">
        <v>3</v>
      </c>
      <c r="E10" s="36" t="n">
        <v>3</v>
      </c>
      <c r="F10" s="11" t="s">
        <v>436</v>
      </c>
      <c r="G10" s="15" t="s">
        <v>437</v>
      </c>
      <c r="H10" s="15" t="s">
        <v>438</v>
      </c>
      <c r="I10" s="11" t="n">
        <v>5</v>
      </c>
      <c r="J10" s="11" t="s">
        <v>432</v>
      </c>
      <c r="K10" s="15" t="s">
        <v>444</v>
      </c>
      <c r="L10" s="15" t="s">
        <v>425</v>
      </c>
      <c r="M10" s="15" t="s">
        <v>445</v>
      </c>
      <c r="N10" s="15" t="s">
        <v>441</v>
      </c>
      <c r="O10" s="69" t="str">
        <f aca="false">IF(AND(LEN(TRIM($B10&amp;""))&gt;0,ISNUMBER($C10),$C10&gt;0,ISNUMBER($D10),$D10&gt;0,ISNUMBER($E10),$E10&gt;0,ABS($E10-$C10*$D10)&lt;=MAX(1,0.005*ABS($E10)),LEN(TRIM($M10&amp;""))&gt;0,TRIM($M10&amp;"")&lt;&gt;"—",LEN(TRIM($P10&amp;""))=0),"PASS","FAIL — "&amp;IF(LEN(TRIM($P10&amp;""))&gt;0,TRIM($P10&amp;""),"line ≠ qty×unit, a required cell empty, or qty/£ non-positive"))</f>
        <v>PASS</v>
      </c>
      <c r="P10" s="70"/>
      <c r="Q10" s="16" t="str">
        <f aca="false">IF(AND(LEN(TRIM(A10&amp;""))&gt;0,TRIM(A10&amp;"")&lt;&gt;"—",LEN(TRIM(B10&amp;""))&gt;0,TRIM(B10&amp;"")&lt;&gt;"—",LEN(TRIM(C10&amp;""))&gt;0,TRIM(C10&amp;"")&lt;&gt;"—",ISNUMBER(C10),LEN(TRIM(D10&amp;""))&gt;0,TRIM(D10&amp;"")&lt;&gt;"—",ISNUMBER(D10),LEN(TRIM(E10&amp;""))&gt;0,TRIM(E10&amp;"")&lt;&gt;"—",ISNUMBER(E10),LEN(TRIM(F10&amp;""))&gt;0,TRIM(F10&amp;"")&lt;&gt;"—",LEN(TRIM(I10&amp;""))&gt;0,TRIM(I10&amp;"")&lt;&gt;"—",LEN(TRIM(J10&amp;""))&gt;0,TRIM(J10&amp;"")&lt;&gt;"—",LEN(TRIM(O10&amp;""))&gt;0,TRIM(O10&amp;"")&lt;&gt;"—"),"PASS","⚠ FAIL — "&amp;"a required cell is empty/placeholder or wrong type")</f>
        <v>PASS</v>
      </c>
    </row>
    <row r="11" customFormat="false" ht="32.8" hidden="false" customHeight="false" outlineLevel="0" collapsed="false">
      <c r="A11" s="11" t="str">
        <f aca="false">'Part names'!$A$90</f>
        <v>G-201</v>
      </c>
      <c r="B11" s="68" t="str">
        <f aca="false">'Part names'!$B$90 &amp; "  · 60 kVA · 862x733x948 mm"</f>
        <v>Standby Diesel Generator  · 60 kVA · 862x733x948 mm</v>
      </c>
      <c r="C11" s="28" t="n">
        <v>1</v>
      </c>
      <c r="D11" s="36" t="n">
        <v>19200</v>
      </c>
      <c r="E11" s="36" t="n">
        <v>19200</v>
      </c>
      <c r="F11" s="11" t="s">
        <v>429</v>
      </c>
      <c r="G11" s="15" t="s">
        <v>446</v>
      </c>
      <c r="H11" s="15" t="s">
        <v>447</v>
      </c>
      <c r="I11" s="11" t="n">
        <v>4</v>
      </c>
      <c r="J11" s="11" t="s">
        <v>432</v>
      </c>
      <c r="K11" s="15" t="s">
        <v>448</v>
      </c>
      <c r="L11" s="15" t="s">
        <v>425</v>
      </c>
      <c r="M11" s="15" t="s">
        <v>449</v>
      </c>
      <c r="N11" s="68" t="s">
        <v>450</v>
      </c>
      <c r="O11" s="69" t="str">
        <f aca="false">IF(AND(LEN(TRIM($B11&amp;""))&gt;0,ISNUMBER($C11),$C11&gt;0,ISNUMBER($D11),$D11&gt;0,ISNUMBER($E11),$E11&gt;0,ABS($E11-$C11*$D11)&lt;=MAX(1,0.005*ABS($E11)),LEN(TRIM($M11&amp;""))&gt;0,TRIM($M11&amp;"")&lt;&gt;"—",LEN(TRIM($P11&amp;""))=0),"PASS","FAIL — "&amp;IF(LEN(TRIM($P11&amp;""))&gt;0,TRIM($P11&amp;""),"line ≠ qty×unit, a required cell empty, or qty/£ non-positive"))</f>
        <v>PASS</v>
      </c>
      <c r="P11" s="70"/>
      <c r="Q11" s="16" t="str">
        <f aca="false">IF(AND(LEN(TRIM(A11&amp;""))&gt;0,TRIM(A11&amp;"")&lt;&gt;"—",LEN(TRIM(B11&amp;""))&gt;0,TRIM(B11&amp;"")&lt;&gt;"—",LEN(TRIM(C11&amp;""))&gt;0,TRIM(C11&amp;"")&lt;&gt;"—",ISNUMBER(C11),LEN(TRIM(D11&amp;""))&gt;0,TRIM(D11&amp;"")&lt;&gt;"—",ISNUMBER(D11),LEN(TRIM(E11&amp;""))&gt;0,TRIM(E11&amp;"")&lt;&gt;"—",ISNUMBER(E11),LEN(TRIM(F11&amp;""))&gt;0,TRIM(F11&amp;"")&lt;&gt;"—",LEN(TRIM(I11&amp;""))&gt;0,TRIM(I11&amp;"")&lt;&gt;"—",LEN(TRIM(J11&amp;""))&gt;0,TRIM(J11&amp;"")&lt;&gt;"—",LEN(TRIM(O11&amp;""))&gt;0,TRIM(O11&amp;"")&lt;&gt;"—"),"PASS","⚠ FAIL — "&amp;"a required cell is empty/placeholder or wrong type")</f>
        <v>PASS</v>
      </c>
    </row>
    <row r="12" customFormat="false" ht="32.8" hidden="false" customHeight="false" outlineLevel="0" collapsed="false">
      <c r="A12" s="11" t="str">
        <f aca="false">'Part names'!$A$20</f>
        <v>U-201</v>
      </c>
      <c r="B12" s="68" t="str">
        <f aca="false">'Part names'!$B$20 &amp; "  · 5 kW (30 min) · 600x510x660 mm"</f>
        <v>Control + Instrument UPS  · 5 kW (30 min) · 600x510x660 mm</v>
      </c>
      <c r="C12" s="28" t="n">
        <v>1</v>
      </c>
      <c r="D12" s="36" t="n">
        <v>4000</v>
      </c>
      <c r="E12" s="36" t="n">
        <v>4000</v>
      </c>
      <c r="F12" s="11" t="s">
        <v>429</v>
      </c>
      <c r="G12" s="15" t="s">
        <v>451</v>
      </c>
      <c r="H12" s="15" t="s">
        <v>452</v>
      </c>
      <c r="I12" s="11" t="n">
        <v>4</v>
      </c>
      <c r="J12" s="11" t="s">
        <v>453</v>
      </c>
      <c r="K12" s="15" t="s">
        <v>454</v>
      </c>
      <c r="L12" s="15" t="s">
        <v>425</v>
      </c>
      <c r="M12" s="15" t="s">
        <v>455</v>
      </c>
      <c r="N12" s="68" t="s">
        <v>456</v>
      </c>
      <c r="O12" s="69" t="str">
        <f aca="false">IF(AND(LEN(TRIM($B12&amp;""))&gt;0,ISNUMBER($C12),$C12&gt;0,ISNUMBER($D12),$D12&gt;0,ISNUMBER($E12),$E12&gt;0,ABS($E12-$C12*$D12)&lt;=MAX(1,0.005*ABS($E12)),LEN(TRIM($M12&amp;""))&gt;0,TRIM($M12&amp;"")&lt;&gt;"—",LEN(TRIM($P12&amp;""))=0),"PASS","FAIL — "&amp;IF(LEN(TRIM($P12&amp;""))&gt;0,TRIM($P12&amp;""),"line ≠ qty×unit, a required cell empty, or qty/£ non-positive"))</f>
        <v>PASS</v>
      </c>
      <c r="P12" s="70"/>
      <c r="Q12" s="16" t="str">
        <f aca="false">IF(AND(LEN(TRIM(A12&amp;""))&gt;0,TRIM(A12&amp;"")&lt;&gt;"—",LEN(TRIM(B12&amp;""))&gt;0,TRIM(B12&amp;"")&lt;&gt;"—",LEN(TRIM(C12&amp;""))&gt;0,TRIM(C12&amp;"")&lt;&gt;"—",ISNUMBER(C12),LEN(TRIM(D12&amp;""))&gt;0,TRIM(D12&amp;"")&lt;&gt;"—",ISNUMBER(D12),LEN(TRIM(E12&amp;""))&gt;0,TRIM(E12&amp;"")&lt;&gt;"—",ISNUMBER(E12),LEN(TRIM(F12&amp;""))&gt;0,TRIM(F12&amp;"")&lt;&gt;"—",LEN(TRIM(I12&amp;""))&gt;0,TRIM(I12&amp;"")&lt;&gt;"—",LEN(TRIM(J12&amp;""))&gt;0,TRIM(J12&amp;"")&lt;&gt;"—",LEN(TRIM(O12&amp;""))&gt;0,TRIM(O12&amp;"")&lt;&gt;"—"),"PASS","⚠ FAIL — "&amp;"a required cell is empty/placeholder or wrong type")</f>
        <v>PASS</v>
      </c>
    </row>
    <row r="13" customFormat="false" ht="43.25" hidden="false" customHeight="false" outlineLevel="0" collapsed="false">
      <c r="A13" s="11" t="str">
        <f aca="false">'Part names'!$A$85</f>
        <v>EP-103</v>
      </c>
      <c r="B13" s="68" t="str">
        <f aca="false">'Part names'!$B$85 &amp; "  · 53 kW plant"</f>
        <v>SCADA / Plant Control System  · 53 kW plant</v>
      </c>
      <c r="C13" s="28" t="n">
        <v>1</v>
      </c>
      <c r="D13" s="36" t="n">
        <v>62650</v>
      </c>
      <c r="E13" s="36" t="n">
        <v>62650</v>
      </c>
      <c r="F13" s="11" t="s">
        <v>429</v>
      </c>
      <c r="G13" s="15" t="s">
        <v>457</v>
      </c>
      <c r="H13" s="15" t="s">
        <v>458</v>
      </c>
      <c r="I13" s="11" t="n">
        <v>4</v>
      </c>
      <c r="J13" s="11" t="s">
        <v>432</v>
      </c>
      <c r="K13" s="15" t="s">
        <v>459</v>
      </c>
      <c r="L13" s="15" t="s">
        <v>425</v>
      </c>
      <c r="M13" s="15" t="s">
        <v>460</v>
      </c>
      <c r="N13" s="68" t="s">
        <v>461</v>
      </c>
      <c r="O13" s="69" t="str">
        <f aca="false">IF(AND(LEN(TRIM($B13&amp;""))&gt;0,ISNUMBER($C13),$C13&gt;0,ISNUMBER($D13),$D13&gt;0,ISNUMBER($E13),$E13&gt;0,ABS($E13-$C13*$D13)&lt;=MAX(1,0.005*ABS($E13)),LEN(TRIM($M13&amp;""))&gt;0,TRIM($M13&amp;"")&lt;&gt;"—",LEN(TRIM($P13&amp;""))=0),"PASS","FAIL — "&amp;IF(LEN(TRIM($P13&amp;""))&gt;0,TRIM($P13&amp;""),"line ≠ qty×unit, a required cell empty, or qty/£ non-positive"))</f>
        <v>PASS</v>
      </c>
      <c r="P13" s="70"/>
      <c r="Q13" s="16" t="str">
        <f aca="false">IF(AND(LEN(TRIM(A13&amp;""))&gt;0,TRIM(A13&amp;"")&lt;&gt;"—",LEN(TRIM(B13&amp;""))&gt;0,TRIM(B13&amp;"")&lt;&gt;"—",LEN(TRIM(C13&amp;""))&gt;0,TRIM(C13&amp;"")&lt;&gt;"—",ISNUMBER(C13),LEN(TRIM(D13&amp;""))&gt;0,TRIM(D13&amp;"")&lt;&gt;"—",ISNUMBER(D13),LEN(TRIM(E13&amp;""))&gt;0,TRIM(E13&amp;"")&lt;&gt;"—",ISNUMBER(E13),LEN(TRIM(F13&amp;""))&gt;0,TRIM(F13&amp;"")&lt;&gt;"—",LEN(TRIM(I13&amp;""))&gt;0,TRIM(I13&amp;"")&lt;&gt;"—",LEN(TRIM(J13&amp;""))&gt;0,TRIM(J13&amp;"")&lt;&gt;"—",LEN(TRIM(O13&amp;""))&gt;0,TRIM(O13&amp;"")&lt;&gt;"—"),"PASS","⚠ FAIL — "&amp;"a required cell is empty/placeholder or wrong type")</f>
        <v>PASS</v>
      </c>
    </row>
    <row r="14" customFormat="false" ht="32.8" hidden="false" customHeight="false" outlineLevel="0" collapsed="false">
      <c r="A14" s="11" t="str">
        <f aca="false">'Part names'!$A$61</f>
        <v>EP-104</v>
      </c>
      <c r="B14" s="68" t="str">
        <f aca="false">'Part names'!$B$61</f>
        <v>Motor Control Center</v>
      </c>
      <c r="C14" s="28" t="n">
        <v>1</v>
      </c>
      <c r="D14" s="36" t="n">
        <v>3000</v>
      </c>
      <c r="E14" s="36" t="n">
        <v>3000</v>
      </c>
      <c r="F14" s="11" t="s">
        <v>436</v>
      </c>
      <c r="G14" s="15" t="s">
        <v>437</v>
      </c>
      <c r="H14" s="15" t="s">
        <v>462</v>
      </c>
      <c r="I14" s="11" t="n">
        <v>5</v>
      </c>
      <c r="J14" s="11" t="s">
        <v>432</v>
      </c>
      <c r="K14" s="15" t="s">
        <v>463</v>
      </c>
      <c r="L14" s="15" t="s">
        <v>425</v>
      </c>
      <c r="M14" s="15" t="s">
        <v>464</v>
      </c>
      <c r="N14" s="71" t="s">
        <v>435</v>
      </c>
      <c r="O14" s="69" t="str">
        <f aca="false">IF(AND(LEN(TRIM($B14&amp;""))&gt;0,ISNUMBER($C14),$C14&gt;0,ISNUMBER($D14),$D14&gt;0,ISNUMBER($E14),$E14&gt;0,ABS($E14-$C14*$D14)&lt;=MAX(1,0.005*ABS($E14)),LEN(TRIM($M14&amp;""))&gt;0,TRIM($M14&amp;"")&lt;&gt;"—",LEN(TRIM($P14&amp;""))=0),"PASS","FAIL — "&amp;IF(LEN(TRIM($P14&amp;""))&gt;0,TRIM($P14&amp;""),"line ≠ qty×unit, a required cell empty, or qty/£ non-positive"))</f>
        <v>PASS</v>
      </c>
      <c r="P14" s="70"/>
      <c r="Q14" s="16" t="str">
        <f aca="false">IF(AND(LEN(TRIM(A14&amp;""))&gt;0,TRIM(A14&amp;"")&lt;&gt;"—",LEN(TRIM(B14&amp;""))&gt;0,TRIM(B14&amp;"")&lt;&gt;"—",LEN(TRIM(C14&amp;""))&gt;0,TRIM(C14&amp;"")&lt;&gt;"—",ISNUMBER(C14),LEN(TRIM(D14&amp;""))&gt;0,TRIM(D14&amp;"")&lt;&gt;"—",ISNUMBER(D14),LEN(TRIM(E14&amp;""))&gt;0,TRIM(E14&amp;"")&lt;&gt;"—",ISNUMBER(E14),LEN(TRIM(F14&amp;""))&gt;0,TRIM(F14&amp;"")&lt;&gt;"—",LEN(TRIM(I14&amp;""))&gt;0,TRIM(I14&amp;"")&lt;&gt;"—",LEN(TRIM(J14&amp;""))&gt;0,TRIM(J14&amp;"")&lt;&gt;"—",LEN(TRIM(O14&amp;""))&gt;0,TRIM(O14&amp;"")&lt;&gt;"—"),"PASS","⚠ FAIL — "&amp;"a required cell is empty/placeholder or wrong type")</f>
        <v>PASS</v>
      </c>
    </row>
    <row r="15" customFormat="false" ht="32.8" hidden="false" customHeight="false" outlineLevel="0" collapsed="false">
      <c r="A15" s="11" t="str">
        <f aca="false">'Part names'!$A$101</f>
        <v>INV-1</v>
      </c>
      <c r="B15" s="68" t="str">
        <f aca="false">'Part names'!$B$101</f>
        <v>Vfd Drive</v>
      </c>
      <c r="C15" s="28" t="n">
        <v>1</v>
      </c>
      <c r="D15" s="36" t="n">
        <v>1086</v>
      </c>
      <c r="E15" s="36" t="n">
        <v>1086</v>
      </c>
      <c r="F15" s="11" t="s">
        <v>429</v>
      </c>
      <c r="G15" s="15" t="s">
        <v>465</v>
      </c>
      <c r="H15" s="15" t="s">
        <v>466</v>
      </c>
      <c r="I15" s="11" t="n">
        <v>4</v>
      </c>
      <c r="J15" s="11" t="s">
        <v>432</v>
      </c>
      <c r="K15" s="15" t="s">
        <v>467</v>
      </c>
      <c r="L15" s="15" t="s">
        <v>425</v>
      </c>
      <c r="M15" s="15" t="s">
        <v>468</v>
      </c>
      <c r="N15" s="71" t="s">
        <v>435</v>
      </c>
      <c r="O15" s="69" t="str">
        <f aca="false">IF(AND(LEN(TRIM($B15&amp;""))&gt;0,ISNUMBER($C15),$C15&gt;0,ISNUMBER($D15),$D15&gt;0,ISNUMBER($E15),$E15&gt;0,ABS($E15-$C15*$D15)&lt;=MAX(1,0.005*ABS($E15)),LEN(TRIM($M15&amp;""))&gt;0,TRIM($M15&amp;"")&lt;&gt;"—",LEN(TRIM($P15&amp;""))=0),"PASS","FAIL — "&amp;IF(LEN(TRIM($P15&amp;""))&gt;0,TRIM($P15&amp;""),"line ≠ qty×unit, a required cell empty, or qty/£ non-positive"))</f>
        <v>PASS</v>
      </c>
      <c r="P15" s="70"/>
      <c r="Q15" s="16" t="str">
        <f aca="false">IF(AND(LEN(TRIM(A15&amp;""))&gt;0,TRIM(A15&amp;"")&lt;&gt;"—",LEN(TRIM(B15&amp;""))&gt;0,TRIM(B15&amp;"")&lt;&gt;"—",LEN(TRIM(C15&amp;""))&gt;0,TRIM(C15&amp;"")&lt;&gt;"—",ISNUMBER(C15),LEN(TRIM(D15&amp;""))&gt;0,TRIM(D15&amp;"")&lt;&gt;"—",ISNUMBER(D15),LEN(TRIM(E15&amp;""))&gt;0,TRIM(E15&amp;"")&lt;&gt;"—",ISNUMBER(E15),LEN(TRIM(F15&amp;""))&gt;0,TRIM(F15&amp;"")&lt;&gt;"—",LEN(TRIM(I15&amp;""))&gt;0,TRIM(I15&amp;"")&lt;&gt;"—",LEN(TRIM(J15&amp;""))&gt;0,TRIM(J15&amp;"")&lt;&gt;"—",LEN(TRIM(O15&amp;""))&gt;0,TRIM(O15&amp;"")&lt;&gt;"—"),"PASS","⚠ FAIL — "&amp;"a required cell is empty/placeholder or wrong type")</f>
        <v>PASS</v>
      </c>
    </row>
    <row r="16" customFormat="false" ht="32.8" hidden="false" customHeight="false" outlineLevel="0" collapsed="false">
      <c r="A16" s="11" t="str">
        <f aca="false">'Part names'!$A$100</f>
        <v>INV-2</v>
      </c>
      <c r="B16" s="68" t="str">
        <f aca="false">'Part names'!$B$100</f>
        <v>Vfd Controller</v>
      </c>
      <c r="C16" s="28" t="n">
        <v>1</v>
      </c>
      <c r="D16" s="36" t="n">
        <v>12</v>
      </c>
      <c r="E16" s="36" t="n">
        <v>12</v>
      </c>
      <c r="F16" s="11" t="s">
        <v>429</v>
      </c>
      <c r="G16" s="15" t="s">
        <v>469</v>
      </c>
      <c r="H16" s="15" t="s">
        <v>438</v>
      </c>
      <c r="I16" s="11" t="n">
        <v>4</v>
      </c>
      <c r="J16" s="11" t="s">
        <v>432</v>
      </c>
      <c r="K16" s="15" t="s">
        <v>470</v>
      </c>
      <c r="L16" s="15" t="s">
        <v>425</v>
      </c>
      <c r="M16" s="15" t="s">
        <v>445</v>
      </c>
      <c r="N16" s="71" t="s">
        <v>435</v>
      </c>
      <c r="O16" s="69" t="str">
        <f aca="false">IF(AND(LEN(TRIM($B16&amp;""))&gt;0,ISNUMBER($C16),$C16&gt;0,ISNUMBER($D16),$D16&gt;0,ISNUMBER($E16),$E16&gt;0,ABS($E16-$C16*$D16)&lt;=MAX(1,0.005*ABS($E16)),LEN(TRIM($M16&amp;""))&gt;0,TRIM($M16&amp;"")&lt;&gt;"—",LEN(TRIM($P16&amp;""))=0),"PASS","FAIL — "&amp;IF(LEN(TRIM($P16&amp;""))&gt;0,TRIM($P16&amp;""),"line ≠ qty×unit, a required cell empty, or qty/£ non-positive"))</f>
        <v>PASS</v>
      </c>
      <c r="P16" s="70"/>
      <c r="Q16" s="16" t="str">
        <f aca="false">IF(AND(LEN(TRIM(A16&amp;""))&gt;0,TRIM(A16&amp;"")&lt;&gt;"—",LEN(TRIM(B16&amp;""))&gt;0,TRIM(B16&amp;"")&lt;&gt;"—",LEN(TRIM(C16&amp;""))&gt;0,TRIM(C16&amp;"")&lt;&gt;"—",ISNUMBER(C16),LEN(TRIM(D16&amp;""))&gt;0,TRIM(D16&amp;"")&lt;&gt;"—",ISNUMBER(D16),LEN(TRIM(E16&amp;""))&gt;0,TRIM(E16&amp;"")&lt;&gt;"—",ISNUMBER(E16),LEN(TRIM(F16&amp;""))&gt;0,TRIM(F16&amp;"")&lt;&gt;"—",LEN(TRIM(I16&amp;""))&gt;0,TRIM(I16&amp;"")&lt;&gt;"—",LEN(TRIM(J16&amp;""))&gt;0,TRIM(J16&amp;"")&lt;&gt;"—",LEN(TRIM(O16&amp;""))&gt;0,TRIM(O16&amp;"")&lt;&gt;"—"),"PASS","⚠ FAIL — "&amp;"a required cell is empty/placeholder or wrong type")</f>
        <v>PASS</v>
      </c>
    </row>
    <row r="17" customFormat="false" ht="23.85" hidden="false" customHeight="false" outlineLevel="0" collapsed="true">
      <c r="A17" s="11" t="str">
        <f aca="false">'Part names'!$A$83</f>
        <v>F-1</v>
      </c>
      <c r="B17" s="68" t="str">
        <f aca="false">'Part names'!$B$83 &amp; "  · 364 m² area"</f>
        <v>Ro Membrane Elements  · 364 m² area</v>
      </c>
      <c r="C17" s="28" t="n">
        <v>1</v>
      </c>
      <c r="D17" s="36" t="n">
        <v>9100</v>
      </c>
      <c r="E17" s="36" t="n">
        <v>9100</v>
      </c>
      <c r="F17" s="11" t="s">
        <v>436</v>
      </c>
      <c r="G17" s="15" t="s">
        <v>471</v>
      </c>
      <c r="H17" s="15" t="s">
        <v>472</v>
      </c>
      <c r="I17" s="11" t="n">
        <v>5</v>
      </c>
      <c r="J17" s="11" t="s">
        <v>432</v>
      </c>
      <c r="K17" s="15" t="s">
        <v>473</v>
      </c>
      <c r="L17" s="68" t="s">
        <v>474</v>
      </c>
      <c r="M17" s="15" t="s">
        <v>475</v>
      </c>
      <c r="N17" s="68" t="s">
        <v>476</v>
      </c>
      <c r="O17" s="69" t="str">
        <f aca="false">IF(AND(LEN(TRIM($B17&amp;""))&gt;0,ISNUMBER($C17),$C17&gt;0,ISNUMBER($D17),$D17&gt;0,ISNUMBER($E17),$E17&gt;0,ABS($E17-$C17*$D17)&lt;=MAX(1,0.005*ABS($E17)),LEN(TRIM($M17&amp;""))&gt;0,TRIM($M17&amp;"")&lt;&gt;"—",LEN(TRIM($P17&amp;""))=0),"PASS","FAIL — "&amp;IF(LEN(TRIM($P17&amp;""))&gt;0,TRIM($P17&amp;""),"line ≠ qty×unit, a required cell empty, or qty/£ non-positive"))</f>
        <v>PASS</v>
      </c>
      <c r="P17" s="70"/>
      <c r="Q17" s="16" t="str">
        <f aca="false">IF(AND(LEN(TRIM(A17&amp;""))&gt;0,TRIM(A17&amp;"")&lt;&gt;"—",LEN(TRIM(B17&amp;""))&gt;0,TRIM(B17&amp;"")&lt;&gt;"—",LEN(TRIM(C17&amp;""))&gt;0,TRIM(C17&amp;"")&lt;&gt;"—",ISNUMBER(C17),LEN(TRIM(D17&amp;""))&gt;0,TRIM(D17&amp;"")&lt;&gt;"—",ISNUMBER(D17),LEN(TRIM(E17&amp;""))&gt;0,TRIM(E17&amp;"")&lt;&gt;"—",ISNUMBER(E17),LEN(TRIM(F17&amp;""))&gt;0,TRIM(F17&amp;"")&lt;&gt;"—",LEN(TRIM(I17&amp;""))&gt;0,TRIM(I17&amp;"")&lt;&gt;"—",LEN(TRIM(J17&amp;""))&gt;0,TRIM(J17&amp;"")&lt;&gt;"—",LEN(TRIM(O17&amp;""))&gt;0,TRIM(O17&amp;"")&lt;&gt;"—"),"PASS","⚠ FAIL — "&amp;"a required cell is empty/placeholder or wrong type")</f>
        <v>PASS</v>
      </c>
    </row>
    <row r="18" customFormat="false" ht="15" hidden="true" customHeight="false" outlineLevel="1" collapsed="false">
      <c r="A18" s="11" t="s">
        <v>477</v>
      </c>
      <c r="B18" s="68" t="s">
        <v>478</v>
      </c>
      <c r="C18" s="28" t="n">
        <v>1</v>
      </c>
      <c r="D18" s="11" t="s">
        <v>479</v>
      </c>
      <c r="E18" s="11" t="s">
        <v>480</v>
      </c>
      <c r="F18" s="11" t="s">
        <v>429</v>
      </c>
      <c r="G18" s="15" t="s">
        <v>481</v>
      </c>
      <c r="H18" s="15"/>
      <c r="I18" s="11" t="n">
        <v>4</v>
      </c>
      <c r="J18" s="11" t="s">
        <v>432</v>
      </c>
      <c r="O18" s="69" t="str">
        <f aca="false">IF(AND(LEN(TRIM($B18&amp;""))&gt;0,LEN(TRIM($P18&amp;""))=0),"PASS","FAIL — "&amp;IF(LEN(TRIM($P18&amp;""))&gt;0,TRIM($P18&amp;""),"line ≠ qty×unit, a required cell empty, or qty/£ non-positive"))</f>
        <v>PASS</v>
      </c>
      <c r="P18" s="70"/>
      <c r="Q18" s="16" t="str">
        <f aca="false">IF(AND(LEN(TRIM(B18&amp;""))&gt;0,TRIM(B18&amp;"")&lt;&gt;"—",LEN(TRIM(C18&amp;""))&gt;0,TRIM(C18&amp;"")&lt;&gt;"—",ISNUMBER(C18),LEN(TRIM(F18&amp;""))&gt;0,TRIM(F18&amp;"")&lt;&gt;"—",LEN(TRIM(I18&amp;""))&gt;0,TRIM(I18&amp;"")&lt;&gt;"—",LEN(TRIM(J18&amp;""))&gt;0,TRIM(J18&amp;"")&lt;&gt;"—",LEN(TRIM(O18&amp;""))&gt;0,TRIM(O18&amp;"")&lt;&gt;"—"),"PASS","⚠ FAIL — "&amp;"a required cell is empty/placeholder or wrong type")</f>
        <v>PASS</v>
      </c>
    </row>
    <row r="19" customFormat="false" ht="15" hidden="true" customHeight="false" outlineLevel="1" collapsed="false">
      <c r="A19" s="11" t="s">
        <v>482</v>
      </c>
      <c r="B19" s="68" t="s">
        <v>483</v>
      </c>
      <c r="C19" s="28" t="n">
        <v>1</v>
      </c>
      <c r="D19" s="11" t="s">
        <v>479</v>
      </c>
      <c r="E19" s="11" t="s">
        <v>480</v>
      </c>
      <c r="F19" s="11" t="s">
        <v>436</v>
      </c>
      <c r="G19" s="15" t="s">
        <v>481</v>
      </c>
      <c r="H19" s="15"/>
      <c r="I19" s="11" t="n">
        <v>5</v>
      </c>
      <c r="J19" s="11" t="s">
        <v>432</v>
      </c>
      <c r="O19" s="69" t="str">
        <f aca="false">IF(AND(LEN(TRIM($B19&amp;""))&gt;0,LEN(TRIM($P19&amp;""))=0),"PASS","FAIL — "&amp;IF(LEN(TRIM($P19&amp;""))&gt;0,TRIM($P19&amp;""),"line ≠ qty×unit, a required cell empty, or qty/£ non-positive"))</f>
        <v>PASS</v>
      </c>
      <c r="P19" s="70"/>
      <c r="Q19" s="16" t="str">
        <f aca="false">IF(AND(LEN(TRIM(B19&amp;""))&gt;0,TRIM(B19&amp;"")&lt;&gt;"—",LEN(TRIM(C19&amp;""))&gt;0,TRIM(C19&amp;"")&lt;&gt;"—",ISNUMBER(C19),LEN(TRIM(F19&amp;""))&gt;0,TRIM(F19&amp;"")&lt;&gt;"—",LEN(TRIM(I19&amp;""))&gt;0,TRIM(I19&amp;"")&lt;&gt;"—",LEN(TRIM(J19&amp;""))&gt;0,TRIM(J19&amp;"")&lt;&gt;"—",LEN(TRIM(O19&amp;""))&gt;0,TRIM(O19&amp;"")&lt;&gt;"—"),"PASS","⚠ FAIL — "&amp;"a required cell is empty/placeholder or wrong type")</f>
        <v>PASS</v>
      </c>
    </row>
    <row r="20" customFormat="false" ht="15" hidden="true" customHeight="false" outlineLevel="1" collapsed="false">
      <c r="A20" s="11" t="s">
        <v>484</v>
      </c>
      <c r="B20" s="68" t="s">
        <v>485</v>
      </c>
      <c r="C20" s="28" t="n">
        <v>1</v>
      </c>
      <c r="D20" s="11" t="s">
        <v>479</v>
      </c>
      <c r="E20" s="11" t="s">
        <v>480</v>
      </c>
      <c r="F20" s="11" t="s">
        <v>436</v>
      </c>
      <c r="G20" s="15" t="s">
        <v>481</v>
      </c>
      <c r="H20" s="15"/>
      <c r="I20" s="11" t="n">
        <v>5</v>
      </c>
      <c r="J20" s="11" t="s">
        <v>432</v>
      </c>
      <c r="O20" s="69" t="str">
        <f aca="false">IF(AND(LEN(TRIM($B20&amp;""))&gt;0,LEN(TRIM($P20&amp;""))=0),"PASS","FAIL — "&amp;IF(LEN(TRIM($P20&amp;""))&gt;0,TRIM($P20&amp;""),"line ≠ qty×unit, a required cell empty, or qty/£ non-positive"))</f>
        <v>PASS</v>
      </c>
      <c r="P20" s="70"/>
      <c r="Q20" s="16" t="str">
        <f aca="false">IF(AND(LEN(TRIM(B20&amp;""))&gt;0,TRIM(B20&amp;"")&lt;&gt;"—",LEN(TRIM(C20&amp;""))&gt;0,TRIM(C20&amp;"")&lt;&gt;"—",ISNUMBER(C20),LEN(TRIM(F20&amp;""))&gt;0,TRIM(F20&amp;"")&lt;&gt;"—",LEN(TRIM(I20&amp;""))&gt;0,TRIM(I20&amp;"")&lt;&gt;"—",LEN(TRIM(J20&amp;""))&gt;0,TRIM(J20&amp;"")&lt;&gt;"—",LEN(TRIM(O20&amp;""))&gt;0,TRIM(O20&amp;"")&lt;&gt;"—"),"PASS","⚠ FAIL — "&amp;"a required cell is empty/placeholder or wrong type")</f>
        <v>PASS</v>
      </c>
    </row>
    <row r="21" customFormat="false" ht="15" hidden="true" customHeight="false" outlineLevel="1" collapsed="false">
      <c r="A21" s="11" t="s">
        <v>486</v>
      </c>
      <c r="B21" s="68" t="s">
        <v>487</v>
      </c>
      <c r="C21" s="28" t="n">
        <v>1</v>
      </c>
      <c r="D21" s="11" t="s">
        <v>479</v>
      </c>
      <c r="E21" s="11" t="s">
        <v>480</v>
      </c>
      <c r="F21" s="11" t="s">
        <v>436</v>
      </c>
      <c r="G21" s="15" t="s">
        <v>481</v>
      </c>
      <c r="H21" s="15"/>
      <c r="I21" s="11" t="n">
        <v>5</v>
      </c>
      <c r="J21" s="11" t="s">
        <v>432</v>
      </c>
      <c r="O21" s="69" t="str">
        <f aca="false">IF(AND(LEN(TRIM($B21&amp;""))&gt;0,LEN(TRIM($P21&amp;""))=0),"PASS","FAIL — "&amp;IF(LEN(TRIM($P21&amp;""))&gt;0,TRIM($P21&amp;""),"line ≠ qty×unit, a required cell empty, or qty/£ non-positive"))</f>
        <v>PASS</v>
      </c>
      <c r="P21" s="70"/>
      <c r="Q21" s="16" t="str">
        <f aca="false">IF(AND(LEN(TRIM(B21&amp;""))&gt;0,TRIM(B21&amp;"")&lt;&gt;"—",LEN(TRIM(C21&amp;""))&gt;0,TRIM(C21&amp;"")&lt;&gt;"—",ISNUMBER(C21),LEN(TRIM(F21&amp;""))&gt;0,TRIM(F21&amp;"")&lt;&gt;"—",LEN(TRIM(I21&amp;""))&gt;0,TRIM(I21&amp;"")&lt;&gt;"—",LEN(TRIM(J21&amp;""))&gt;0,TRIM(J21&amp;"")&lt;&gt;"—",LEN(TRIM(O21&amp;""))&gt;0,TRIM(O21&amp;"")&lt;&gt;"—"),"PASS","⚠ FAIL — "&amp;"a required cell is empty/placeholder or wrong type")</f>
        <v>PASS</v>
      </c>
    </row>
    <row r="22" customFormat="false" ht="15" hidden="true" customHeight="false" outlineLevel="1" collapsed="false">
      <c r="A22" s="11" t="s">
        <v>488</v>
      </c>
      <c r="B22" s="68" t="s">
        <v>489</v>
      </c>
      <c r="C22" s="28" t="n">
        <v>1</v>
      </c>
      <c r="D22" s="11" t="s">
        <v>479</v>
      </c>
      <c r="E22" s="11" t="s">
        <v>480</v>
      </c>
      <c r="F22" s="11" t="s">
        <v>429</v>
      </c>
      <c r="G22" s="15" t="s">
        <v>481</v>
      </c>
      <c r="H22" s="15"/>
      <c r="I22" s="11" t="n">
        <v>4</v>
      </c>
      <c r="J22" s="11" t="s">
        <v>432</v>
      </c>
      <c r="O22" s="69" t="str">
        <f aca="false">IF(AND(LEN(TRIM($B22&amp;""))&gt;0,LEN(TRIM($P22&amp;""))=0),"PASS","FAIL — "&amp;IF(LEN(TRIM($P22&amp;""))&gt;0,TRIM($P22&amp;""),"line ≠ qty×unit, a required cell empty, or qty/£ non-positive"))</f>
        <v>PASS</v>
      </c>
      <c r="P22" s="70"/>
      <c r="Q22" s="16" t="str">
        <f aca="false">IF(AND(LEN(TRIM(B22&amp;""))&gt;0,TRIM(B22&amp;"")&lt;&gt;"—",LEN(TRIM(C22&amp;""))&gt;0,TRIM(C22&amp;"")&lt;&gt;"—",ISNUMBER(C22),LEN(TRIM(F22&amp;""))&gt;0,TRIM(F22&amp;"")&lt;&gt;"—",LEN(TRIM(I22&amp;""))&gt;0,TRIM(I22&amp;"")&lt;&gt;"—",LEN(TRIM(J22&amp;""))&gt;0,TRIM(J22&amp;"")&lt;&gt;"—",LEN(TRIM(O22&amp;""))&gt;0,TRIM(O22&amp;"")&lt;&gt;"—"),"PASS","⚠ FAIL — "&amp;"a required cell is empty/placeholder or wrong type")</f>
        <v>PASS</v>
      </c>
    </row>
    <row r="23" customFormat="false" ht="15" hidden="true" customHeight="false" outlineLevel="1" collapsed="false">
      <c r="A23" s="11" t="s">
        <v>490</v>
      </c>
      <c r="B23" s="68" t="s">
        <v>491</v>
      </c>
      <c r="C23" s="28" t="n">
        <v>1</v>
      </c>
      <c r="D23" s="11" t="s">
        <v>479</v>
      </c>
      <c r="E23" s="11" t="s">
        <v>480</v>
      </c>
      <c r="F23" s="11" t="s">
        <v>436</v>
      </c>
      <c r="G23" s="15" t="s">
        <v>481</v>
      </c>
      <c r="H23" s="15"/>
      <c r="I23" s="11" t="n">
        <v>5</v>
      </c>
      <c r="J23" s="11" t="s">
        <v>432</v>
      </c>
      <c r="O23" s="69" t="str">
        <f aca="false">IF(AND(LEN(TRIM($B23&amp;""))&gt;0,LEN(TRIM($P23&amp;""))=0),"PASS","FAIL — "&amp;IF(LEN(TRIM($P23&amp;""))&gt;0,TRIM($P23&amp;""),"line ≠ qty×unit, a required cell empty, or qty/£ non-positive"))</f>
        <v>PASS</v>
      </c>
      <c r="P23" s="70"/>
      <c r="Q23" s="16" t="str">
        <f aca="false">IF(AND(LEN(TRIM(B23&amp;""))&gt;0,TRIM(B23&amp;"")&lt;&gt;"—",LEN(TRIM(C23&amp;""))&gt;0,TRIM(C23&amp;"")&lt;&gt;"—",ISNUMBER(C23),LEN(TRIM(F23&amp;""))&gt;0,TRIM(F23&amp;"")&lt;&gt;"—",LEN(TRIM(I23&amp;""))&gt;0,TRIM(I23&amp;"")&lt;&gt;"—",LEN(TRIM(J23&amp;""))&gt;0,TRIM(J23&amp;"")&lt;&gt;"—",LEN(TRIM(O23&amp;""))&gt;0,TRIM(O23&amp;"")&lt;&gt;"—"),"PASS","⚠ FAIL — "&amp;"a required cell is empty/placeholder or wrong type")</f>
        <v>PASS</v>
      </c>
    </row>
    <row r="24" customFormat="false" ht="15" hidden="true" customHeight="false" outlineLevel="1" collapsed="false">
      <c r="A24" s="11" t="s">
        <v>492</v>
      </c>
      <c r="B24" s="68" t="s">
        <v>493</v>
      </c>
      <c r="C24" s="28" t="n">
        <v>1</v>
      </c>
      <c r="D24" s="11" t="s">
        <v>479</v>
      </c>
      <c r="E24" s="11" t="s">
        <v>480</v>
      </c>
      <c r="F24" s="11" t="s">
        <v>436</v>
      </c>
      <c r="G24" s="15" t="s">
        <v>481</v>
      </c>
      <c r="H24" s="15"/>
      <c r="I24" s="11" t="n">
        <v>5</v>
      </c>
      <c r="J24" s="11" t="s">
        <v>432</v>
      </c>
      <c r="O24" s="69" t="str">
        <f aca="false">IF(AND(LEN(TRIM($B24&amp;""))&gt;0,LEN(TRIM($P24&amp;""))=0),"PASS","FAIL — "&amp;IF(LEN(TRIM($P24&amp;""))&gt;0,TRIM($P24&amp;""),"line ≠ qty×unit, a required cell empty, or qty/£ non-positive"))</f>
        <v>PASS</v>
      </c>
      <c r="P24" s="70"/>
      <c r="Q24" s="16" t="str">
        <f aca="false">IF(AND(LEN(TRIM(B24&amp;""))&gt;0,TRIM(B24&amp;"")&lt;&gt;"—",LEN(TRIM(C24&amp;""))&gt;0,TRIM(C24&amp;"")&lt;&gt;"—",ISNUMBER(C24),LEN(TRIM(F24&amp;""))&gt;0,TRIM(F24&amp;"")&lt;&gt;"—",LEN(TRIM(I24&amp;""))&gt;0,TRIM(I24&amp;"")&lt;&gt;"—",LEN(TRIM(J24&amp;""))&gt;0,TRIM(J24&amp;"")&lt;&gt;"—",LEN(TRIM(O24&amp;""))&gt;0,TRIM(O24&amp;"")&lt;&gt;"—"),"PASS","⚠ FAIL — "&amp;"a required cell is empty/placeholder or wrong type")</f>
        <v>PASS</v>
      </c>
    </row>
    <row r="25" customFormat="false" ht="15" hidden="true" customHeight="false" outlineLevel="1" collapsed="false">
      <c r="A25" s="11" t="s">
        <v>494</v>
      </c>
      <c r="B25" s="68" t="s">
        <v>495</v>
      </c>
      <c r="C25" s="28" t="n">
        <v>1</v>
      </c>
      <c r="D25" s="11" t="s">
        <v>479</v>
      </c>
      <c r="E25" s="11" t="s">
        <v>480</v>
      </c>
      <c r="F25" s="11" t="s">
        <v>429</v>
      </c>
      <c r="G25" s="15" t="s">
        <v>481</v>
      </c>
      <c r="H25" s="15"/>
      <c r="I25" s="11" t="n">
        <v>4</v>
      </c>
      <c r="J25" s="11" t="s">
        <v>432</v>
      </c>
      <c r="O25" s="69" t="str">
        <f aca="false">IF(AND(LEN(TRIM($B25&amp;""))&gt;0,LEN(TRIM($P25&amp;""))=0),"PASS","FAIL — "&amp;IF(LEN(TRIM($P25&amp;""))&gt;0,TRIM($P25&amp;""),"line ≠ qty×unit, a required cell empty, or qty/£ non-positive"))</f>
        <v>PASS</v>
      </c>
      <c r="P25" s="70"/>
      <c r="Q25" s="16" t="str">
        <f aca="false">IF(AND(LEN(TRIM(B25&amp;""))&gt;0,TRIM(B25&amp;"")&lt;&gt;"—",LEN(TRIM(C25&amp;""))&gt;0,TRIM(C25&amp;"")&lt;&gt;"—",ISNUMBER(C25),LEN(TRIM(F25&amp;""))&gt;0,TRIM(F25&amp;"")&lt;&gt;"—",LEN(TRIM(I25&amp;""))&gt;0,TRIM(I25&amp;"")&lt;&gt;"—",LEN(TRIM(J25&amp;""))&gt;0,TRIM(J25&amp;"")&lt;&gt;"—",LEN(TRIM(O25&amp;""))&gt;0,TRIM(O25&amp;"")&lt;&gt;"—"),"PASS","⚠ FAIL — "&amp;"a required cell is empty/placeholder or wrong type")</f>
        <v>PASS</v>
      </c>
    </row>
    <row r="26" customFormat="false" ht="15" hidden="true" customHeight="false" outlineLevel="1" collapsed="false">
      <c r="A26" s="11" t="s">
        <v>496</v>
      </c>
      <c r="B26" s="68" t="s">
        <v>497</v>
      </c>
      <c r="C26" s="28" t="n">
        <v>1</v>
      </c>
      <c r="D26" s="11" t="s">
        <v>479</v>
      </c>
      <c r="E26" s="11" t="s">
        <v>480</v>
      </c>
      <c r="F26" s="11" t="s">
        <v>429</v>
      </c>
      <c r="G26" s="15" t="s">
        <v>481</v>
      </c>
      <c r="H26" s="15"/>
      <c r="I26" s="11" t="n">
        <v>4</v>
      </c>
      <c r="J26" s="11" t="s">
        <v>432</v>
      </c>
      <c r="O26" s="69" t="str">
        <f aca="false">IF(AND(LEN(TRIM($B26&amp;""))&gt;0,LEN(TRIM($P26&amp;""))=0),"PASS","FAIL — "&amp;IF(LEN(TRIM($P26&amp;""))&gt;0,TRIM($P26&amp;""),"line ≠ qty×unit, a required cell empty, or qty/£ non-positive"))</f>
        <v>PASS</v>
      </c>
      <c r="P26" s="70"/>
      <c r="Q26" s="16" t="str">
        <f aca="false">IF(AND(LEN(TRIM(B26&amp;""))&gt;0,TRIM(B26&amp;"")&lt;&gt;"—",LEN(TRIM(C26&amp;""))&gt;0,TRIM(C26&amp;"")&lt;&gt;"—",ISNUMBER(C26),LEN(TRIM(F26&amp;""))&gt;0,TRIM(F26&amp;"")&lt;&gt;"—",LEN(TRIM(I26&amp;""))&gt;0,TRIM(I26&amp;"")&lt;&gt;"—",LEN(TRIM(J26&amp;""))&gt;0,TRIM(J26&amp;"")&lt;&gt;"—",LEN(TRIM(O26&amp;""))&gt;0,TRIM(O26&amp;"")&lt;&gt;"—"),"PASS","⚠ FAIL — "&amp;"a required cell is empty/placeholder or wrong type")</f>
        <v>PASS</v>
      </c>
    </row>
    <row r="27" customFormat="false" ht="15" hidden="true" customHeight="false" outlineLevel="1" collapsed="false">
      <c r="A27" s="11" t="s">
        <v>498</v>
      </c>
      <c r="B27" s="68" t="s">
        <v>499</v>
      </c>
      <c r="C27" s="28" t="n">
        <v>1</v>
      </c>
      <c r="D27" s="11" t="s">
        <v>479</v>
      </c>
      <c r="E27" s="11" t="s">
        <v>480</v>
      </c>
      <c r="F27" s="11" t="s">
        <v>436</v>
      </c>
      <c r="G27" s="15" t="s">
        <v>481</v>
      </c>
      <c r="H27" s="15"/>
      <c r="I27" s="11" t="n">
        <v>5</v>
      </c>
      <c r="J27" s="11" t="s">
        <v>432</v>
      </c>
      <c r="O27" s="69" t="str">
        <f aca="false">IF(AND(LEN(TRIM($B27&amp;""))&gt;0,LEN(TRIM($P27&amp;""))=0),"PASS","FAIL — "&amp;IF(LEN(TRIM($P27&amp;""))&gt;0,TRIM($P27&amp;""),"line ≠ qty×unit, a required cell empty, or qty/£ non-positive"))</f>
        <v>PASS</v>
      </c>
      <c r="P27" s="70"/>
      <c r="Q27" s="16" t="str">
        <f aca="false">IF(AND(LEN(TRIM(B27&amp;""))&gt;0,TRIM(B27&amp;"")&lt;&gt;"—",LEN(TRIM(C27&amp;""))&gt;0,TRIM(C27&amp;"")&lt;&gt;"—",ISNUMBER(C27),LEN(TRIM(F27&amp;""))&gt;0,TRIM(F27&amp;"")&lt;&gt;"—",LEN(TRIM(I27&amp;""))&gt;0,TRIM(I27&amp;"")&lt;&gt;"—",LEN(TRIM(J27&amp;""))&gt;0,TRIM(J27&amp;"")&lt;&gt;"—",LEN(TRIM(O27&amp;""))&gt;0,TRIM(O27&amp;"")&lt;&gt;"—"),"PASS","⚠ FAIL — "&amp;"a required cell is empty/placeholder or wrong type")</f>
        <v>PASS</v>
      </c>
    </row>
    <row r="28" customFormat="false" ht="26.85" hidden="false" customHeight="false" outlineLevel="0" collapsed="true">
      <c r="A28" s="11" t="str">
        <f aca="false">'Part names'!$A$97</f>
        <v>Z-103</v>
      </c>
      <c r="B28" s="68" t="str">
        <f aca="false">'Part names'!$B$97</f>
        <v>Ultrafiltration Module</v>
      </c>
      <c r="C28" s="28" t="n">
        <v>1</v>
      </c>
      <c r="D28" s="36" t="n">
        <v>14825</v>
      </c>
      <c r="E28" s="36" t="n">
        <v>0</v>
      </c>
      <c r="F28" s="11" t="s">
        <v>436</v>
      </c>
      <c r="G28" s="15"/>
      <c r="H28" s="15" t="s">
        <v>438</v>
      </c>
      <c r="I28" s="11" t="n">
        <v>5</v>
      </c>
      <c r="J28" s="11" t="s">
        <v>432</v>
      </c>
      <c r="O28" s="69" t="str">
        <f aca="false">IF(AND(LEN(TRIM($B28&amp;""))&gt;0,ISNUMBER($C28),$C28&gt;0,ISNUMBER($D28),$D28&gt;0,ISNUMBER($E28),$E28&gt;0,LEN(TRIM($P28&amp;""))=0),"PASS","FAIL — "&amp;IF(LEN(TRIM($P28&amp;""))&gt;0,TRIM($P28&amp;""),"line ≠ qty×unit, a required cell empty, or qty/£ non-positive"))</f>
        <v>FAIL — line ≠ qty×unit, a required cell empty, or qty/£ non-positive</v>
      </c>
      <c r="P28" s="70"/>
      <c r="Q28" s="16" t="str">
        <f aca="false">IF(AND(LEN(TRIM(A28&amp;""))&gt;0,TRIM(A28&amp;"")&lt;&gt;"—",LEN(TRIM(B28&amp;""))&gt;0,TRIM(B28&amp;"")&lt;&gt;"—",LEN(TRIM(C28&amp;""))&gt;0,TRIM(C28&amp;"")&lt;&gt;"—",ISNUMBER(C28),LEN(TRIM(D28&amp;""))&gt;0,TRIM(D28&amp;"")&lt;&gt;"—",ISNUMBER(D28),LEN(TRIM(E28&amp;""))&gt;0,TRIM(E28&amp;"")&lt;&gt;"—",ISNUMBER(E28),LEN(TRIM(F28&amp;""))&gt;0,TRIM(F28&amp;"")&lt;&gt;"—",LEN(TRIM(I28&amp;""))&gt;0,TRIM(I28&amp;"")&lt;&gt;"—",LEN(TRIM(J28&amp;""))&gt;0,TRIM(J28&amp;"")&lt;&gt;"—",LEN(TRIM(O28&amp;""))&gt;0,TRIM(O28&amp;"")&lt;&gt;"—"),"PASS","⚠ FAIL — "&amp;"a required cell is empty/placeholder or wrong type")</f>
        <v>PASS</v>
      </c>
    </row>
    <row r="29" customFormat="false" ht="15" hidden="true" customHeight="false" outlineLevel="1" collapsed="false">
      <c r="A29" s="11" t="s">
        <v>500</v>
      </c>
      <c r="B29" s="68" t="s">
        <v>478</v>
      </c>
      <c r="C29" s="28" t="n">
        <v>1</v>
      </c>
      <c r="D29" s="11" t="s">
        <v>479</v>
      </c>
      <c r="E29" s="11" t="s">
        <v>480</v>
      </c>
      <c r="F29" s="11" t="s">
        <v>429</v>
      </c>
      <c r="G29" s="15" t="s">
        <v>481</v>
      </c>
      <c r="H29" s="15"/>
      <c r="I29" s="11" t="n">
        <v>4</v>
      </c>
      <c r="J29" s="11" t="s">
        <v>432</v>
      </c>
      <c r="O29" s="69" t="str">
        <f aca="false">IF(AND(LEN(TRIM($B29&amp;""))&gt;0,LEN(TRIM($P29&amp;""))=0),"PASS","FAIL — "&amp;IF(LEN(TRIM($P29&amp;""))&gt;0,TRIM($P29&amp;""),"line ≠ qty×unit, a required cell empty, or qty/£ non-positive"))</f>
        <v>PASS</v>
      </c>
      <c r="P29" s="70"/>
      <c r="Q29" s="16" t="str">
        <f aca="false">IF(AND(LEN(TRIM(B29&amp;""))&gt;0,TRIM(B29&amp;"")&lt;&gt;"—",LEN(TRIM(C29&amp;""))&gt;0,TRIM(C29&amp;"")&lt;&gt;"—",ISNUMBER(C29),LEN(TRIM(F29&amp;""))&gt;0,TRIM(F29&amp;"")&lt;&gt;"—",LEN(TRIM(I29&amp;""))&gt;0,TRIM(I29&amp;"")&lt;&gt;"—",LEN(TRIM(J29&amp;""))&gt;0,TRIM(J29&amp;"")&lt;&gt;"—",LEN(TRIM(O29&amp;""))&gt;0,TRIM(O29&amp;"")&lt;&gt;"—"),"PASS","⚠ FAIL — "&amp;"a required cell is empty/placeholder or wrong type")</f>
        <v>PASS</v>
      </c>
    </row>
    <row r="30" customFormat="false" ht="15" hidden="true" customHeight="false" outlineLevel="1" collapsed="false">
      <c r="A30" s="11" t="s">
        <v>501</v>
      </c>
      <c r="B30" s="68" t="s">
        <v>483</v>
      </c>
      <c r="C30" s="28" t="n">
        <v>1</v>
      </c>
      <c r="D30" s="11" t="s">
        <v>479</v>
      </c>
      <c r="E30" s="11" t="s">
        <v>480</v>
      </c>
      <c r="F30" s="11" t="s">
        <v>436</v>
      </c>
      <c r="G30" s="15" t="s">
        <v>481</v>
      </c>
      <c r="H30" s="15"/>
      <c r="I30" s="11" t="n">
        <v>5</v>
      </c>
      <c r="J30" s="11" t="s">
        <v>432</v>
      </c>
      <c r="O30" s="69" t="str">
        <f aca="false">IF(AND(LEN(TRIM($B30&amp;""))&gt;0,LEN(TRIM($P30&amp;""))=0),"PASS","FAIL — "&amp;IF(LEN(TRIM($P30&amp;""))&gt;0,TRIM($P30&amp;""),"line ≠ qty×unit, a required cell empty, or qty/£ non-positive"))</f>
        <v>PASS</v>
      </c>
      <c r="P30" s="70"/>
      <c r="Q30" s="16" t="str">
        <f aca="false">IF(AND(LEN(TRIM(B30&amp;""))&gt;0,TRIM(B30&amp;"")&lt;&gt;"—",LEN(TRIM(C30&amp;""))&gt;0,TRIM(C30&amp;"")&lt;&gt;"—",ISNUMBER(C30),LEN(TRIM(F30&amp;""))&gt;0,TRIM(F30&amp;"")&lt;&gt;"—",LEN(TRIM(I30&amp;""))&gt;0,TRIM(I30&amp;"")&lt;&gt;"—",LEN(TRIM(J30&amp;""))&gt;0,TRIM(J30&amp;"")&lt;&gt;"—",LEN(TRIM(O30&amp;""))&gt;0,TRIM(O30&amp;"")&lt;&gt;"—"),"PASS","⚠ FAIL — "&amp;"a required cell is empty/placeholder or wrong type")</f>
        <v>PASS</v>
      </c>
    </row>
    <row r="31" customFormat="false" ht="15" hidden="true" customHeight="false" outlineLevel="1" collapsed="false">
      <c r="A31" s="11" t="s">
        <v>502</v>
      </c>
      <c r="B31" s="68" t="s">
        <v>485</v>
      </c>
      <c r="C31" s="28" t="n">
        <v>1</v>
      </c>
      <c r="D31" s="11" t="s">
        <v>479</v>
      </c>
      <c r="E31" s="11" t="s">
        <v>480</v>
      </c>
      <c r="F31" s="11" t="s">
        <v>436</v>
      </c>
      <c r="G31" s="15" t="s">
        <v>481</v>
      </c>
      <c r="H31" s="15"/>
      <c r="I31" s="11" t="n">
        <v>5</v>
      </c>
      <c r="J31" s="11" t="s">
        <v>432</v>
      </c>
      <c r="O31" s="69" t="str">
        <f aca="false">IF(AND(LEN(TRIM($B31&amp;""))&gt;0,LEN(TRIM($P31&amp;""))=0),"PASS","FAIL — "&amp;IF(LEN(TRIM($P31&amp;""))&gt;0,TRIM($P31&amp;""),"line ≠ qty×unit, a required cell empty, or qty/£ non-positive"))</f>
        <v>PASS</v>
      </c>
      <c r="P31" s="70"/>
      <c r="Q31" s="16" t="str">
        <f aca="false">IF(AND(LEN(TRIM(B31&amp;""))&gt;0,TRIM(B31&amp;"")&lt;&gt;"—",LEN(TRIM(C31&amp;""))&gt;0,TRIM(C31&amp;"")&lt;&gt;"—",ISNUMBER(C31),LEN(TRIM(F31&amp;""))&gt;0,TRIM(F31&amp;"")&lt;&gt;"—",LEN(TRIM(I31&amp;""))&gt;0,TRIM(I31&amp;"")&lt;&gt;"—",LEN(TRIM(J31&amp;""))&gt;0,TRIM(J31&amp;"")&lt;&gt;"—",LEN(TRIM(O31&amp;""))&gt;0,TRIM(O31&amp;"")&lt;&gt;"—"),"PASS","⚠ FAIL — "&amp;"a required cell is empty/placeholder or wrong type")</f>
        <v>PASS</v>
      </c>
    </row>
    <row r="32" customFormat="false" ht="15" hidden="true" customHeight="false" outlineLevel="1" collapsed="false">
      <c r="A32" s="11" t="s">
        <v>503</v>
      </c>
      <c r="B32" s="68" t="s">
        <v>487</v>
      </c>
      <c r="C32" s="28" t="n">
        <v>1</v>
      </c>
      <c r="D32" s="11" t="s">
        <v>479</v>
      </c>
      <c r="E32" s="11" t="s">
        <v>480</v>
      </c>
      <c r="F32" s="11" t="s">
        <v>436</v>
      </c>
      <c r="G32" s="15" t="s">
        <v>481</v>
      </c>
      <c r="H32" s="15"/>
      <c r="I32" s="11" t="n">
        <v>5</v>
      </c>
      <c r="J32" s="11" t="s">
        <v>432</v>
      </c>
      <c r="O32" s="69" t="str">
        <f aca="false">IF(AND(LEN(TRIM($B32&amp;""))&gt;0,LEN(TRIM($P32&amp;""))=0),"PASS","FAIL — "&amp;IF(LEN(TRIM($P32&amp;""))&gt;0,TRIM($P32&amp;""),"line ≠ qty×unit, a required cell empty, or qty/£ non-positive"))</f>
        <v>PASS</v>
      </c>
      <c r="P32" s="70"/>
      <c r="Q32" s="16" t="str">
        <f aca="false">IF(AND(LEN(TRIM(B32&amp;""))&gt;0,TRIM(B32&amp;"")&lt;&gt;"—",LEN(TRIM(C32&amp;""))&gt;0,TRIM(C32&amp;"")&lt;&gt;"—",ISNUMBER(C32),LEN(TRIM(F32&amp;""))&gt;0,TRIM(F32&amp;"")&lt;&gt;"—",LEN(TRIM(I32&amp;""))&gt;0,TRIM(I32&amp;"")&lt;&gt;"—",LEN(TRIM(J32&amp;""))&gt;0,TRIM(J32&amp;"")&lt;&gt;"—",LEN(TRIM(O32&amp;""))&gt;0,TRIM(O32&amp;"")&lt;&gt;"—"),"PASS","⚠ FAIL — "&amp;"a required cell is empty/placeholder or wrong type")</f>
        <v>PASS</v>
      </c>
    </row>
    <row r="33" customFormat="false" ht="15" hidden="true" customHeight="false" outlineLevel="1" collapsed="false">
      <c r="A33" s="11" t="s">
        <v>504</v>
      </c>
      <c r="B33" s="68" t="s">
        <v>489</v>
      </c>
      <c r="C33" s="28" t="n">
        <v>1</v>
      </c>
      <c r="D33" s="11" t="s">
        <v>479</v>
      </c>
      <c r="E33" s="11" t="s">
        <v>480</v>
      </c>
      <c r="F33" s="11" t="s">
        <v>429</v>
      </c>
      <c r="G33" s="15" t="s">
        <v>481</v>
      </c>
      <c r="H33" s="15"/>
      <c r="I33" s="11" t="n">
        <v>4</v>
      </c>
      <c r="J33" s="11" t="s">
        <v>432</v>
      </c>
      <c r="O33" s="69" t="str">
        <f aca="false">IF(AND(LEN(TRIM($B33&amp;""))&gt;0,LEN(TRIM($P33&amp;""))=0),"PASS","FAIL — "&amp;IF(LEN(TRIM($P33&amp;""))&gt;0,TRIM($P33&amp;""),"line ≠ qty×unit, a required cell empty, or qty/£ non-positive"))</f>
        <v>PASS</v>
      </c>
      <c r="P33" s="70"/>
      <c r="Q33" s="16" t="str">
        <f aca="false">IF(AND(LEN(TRIM(B33&amp;""))&gt;0,TRIM(B33&amp;"")&lt;&gt;"—",LEN(TRIM(C33&amp;""))&gt;0,TRIM(C33&amp;"")&lt;&gt;"—",ISNUMBER(C33),LEN(TRIM(F33&amp;""))&gt;0,TRIM(F33&amp;"")&lt;&gt;"—",LEN(TRIM(I33&amp;""))&gt;0,TRIM(I33&amp;"")&lt;&gt;"—",LEN(TRIM(J33&amp;""))&gt;0,TRIM(J33&amp;"")&lt;&gt;"—",LEN(TRIM(O33&amp;""))&gt;0,TRIM(O33&amp;"")&lt;&gt;"—"),"PASS","⚠ FAIL — "&amp;"a required cell is empty/placeholder or wrong type")</f>
        <v>PASS</v>
      </c>
    </row>
    <row r="34" customFormat="false" ht="15" hidden="true" customHeight="false" outlineLevel="1" collapsed="false">
      <c r="A34" s="11" t="s">
        <v>505</v>
      </c>
      <c r="B34" s="68" t="s">
        <v>491</v>
      </c>
      <c r="C34" s="28" t="n">
        <v>1</v>
      </c>
      <c r="D34" s="11" t="s">
        <v>479</v>
      </c>
      <c r="E34" s="11" t="s">
        <v>480</v>
      </c>
      <c r="F34" s="11" t="s">
        <v>436</v>
      </c>
      <c r="G34" s="15" t="s">
        <v>481</v>
      </c>
      <c r="H34" s="15"/>
      <c r="I34" s="11" t="n">
        <v>5</v>
      </c>
      <c r="J34" s="11" t="s">
        <v>432</v>
      </c>
      <c r="O34" s="69" t="str">
        <f aca="false">IF(AND(LEN(TRIM($B34&amp;""))&gt;0,LEN(TRIM($P34&amp;""))=0),"PASS","FAIL — "&amp;IF(LEN(TRIM($P34&amp;""))&gt;0,TRIM($P34&amp;""),"line ≠ qty×unit, a required cell empty, or qty/£ non-positive"))</f>
        <v>PASS</v>
      </c>
      <c r="P34" s="70"/>
      <c r="Q34" s="16" t="str">
        <f aca="false">IF(AND(LEN(TRIM(B34&amp;""))&gt;0,TRIM(B34&amp;"")&lt;&gt;"—",LEN(TRIM(C34&amp;""))&gt;0,TRIM(C34&amp;"")&lt;&gt;"—",ISNUMBER(C34),LEN(TRIM(F34&amp;""))&gt;0,TRIM(F34&amp;"")&lt;&gt;"—",LEN(TRIM(I34&amp;""))&gt;0,TRIM(I34&amp;"")&lt;&gt;"—",LEN(TRIM(J34&amp;""))&gt;0,TRIM(J34&amp;"")&lt;&gt;"—",LEN(TRIM(O34&amp;""))&gt;0,TRIM(O34&amp;"")&lt;&gt;"—"),"PASS","⚠ FAIL — "&amp;"a required cell is empty/placeholder or wrong type")</f>
        <v>PASS</v>
      </c>
    </row>
    <row r="35" customFormat="false" ht="15" hidden="true" customHeight="false" outlineLevel="1" collapsed="false">
      <c r="A35" s="11" t="s">
        <v>506</v>
      </c>
      <c r="B35" s="68" t="s">
        <v>493</v>
      </c>
      <c r="C35" s="28" t="n">
        <v>1</v>
      </c>
      <c r="D35" s="11" t="s">
        <v>479</v>
      </c>
      <c r="E35" s="11" t="s">
        <v>480</v>
      </c>
      <c r="F35" s="11" t="s">
        <v>436</v>
      </c>
      <c r="G35" s="15" t="s">
        <v>481</v>
      </c>
      <c r="H35" s="15"/>
      <c r="I35" s="11" t="n">
        <v>5</v>
      </c>
      <c r="J35" s="11" t="s">
        <v>432</v>
      </c>
      <c r="O35" s="69" t="str">
        <f aca="false">IF(AND(LEN(TRIM($B35&amp;""))&gt;0,LEN(TRIM($P35&amp;""))=0),"PASS","FAIL — "&amp;IF(LEN(TRIM($P35&amp;""))&gt;0,TRIM($P35&amp;""),"line ≠ qty×unit, a required cell empty, or qty/£ non-positive"))</f>
        <v>PASS</v>
      </c>
      <c r="P35" s="70"/>
      <c r="Q35" s="16" t="str">
        <f aca="false">IF(AND(LEN(TRIM(B35&amp;""))&gt;0,TRIM(B35&amp;"")&lt;&gt;"—",LEN(TRIM(C35&amp;""))&gt;0,TRIM(C35&amp;"")&lt;&gt;"—",ISNUMBER(C35),LEN(TRIM(F35&amp;""))&gt;0,TRIM(F35&amp;"")&lt;&gt;"—",LEN(TRIM(I35&amp;""))&gt;0,TRIM(I35&amp;"")&lt;&gt;"—",LEN(TRIM(J35&amp;""))&gt;0,TRIM(J35&amp;"")&lt;&gt;"—",LEN(TRIM(O35&amp;""))&gt;0,TRIM(O35&amp;"")&lt;&gt;"—"),"PASS","⚠ FAIL — "&amp;"a required cell is empty/placeholder or wrong type")</f>
        <v>PASS</v>
      </c>
    </row>
    <row r="36" customFormat="false" ht="15" hidden="true" customHeight="false" outlineLevel="1" collapsed="false">
      <c r="A36" s="11" t="s">
        <v>507</v>
      </c>
      <c r="B36" s="68" t="s">
        <v>495</v>
      </c>
      <c r="C36" s="28" t="n">
        <v>1</v>
      </c>
      <c r="D36" s="11" t="s">
        <v>479</v>
      </c>
      <c r="E36" s="11" t="s">
        <v>480</v>
      </c>
      <c r="F36" s="11" t="s">
        <v>429</v>
      </c>
      <c r="G36" s="15" t="s">
        <v>481</v>
      </c>
      <c r="H36" s="15"/>
      <c r="I36" s="11" t="n">
        <v>4</v>
      </c>
      <c r="J36" s="11" t="s">
        <v>432</v>
      </c>
      <c r="O36" s="69" t="str">
        <f aca="false">IF(AND(LEN(TRIM($B36&amp;""))&gt;0,LEN(TRIM($P36&amp;""))=0),"PASS","FAIL — "&amp;IF(LEN(TRIM($P36&amp;""))&gt;0,TRIM($P36&amp;""),"line ≠ qty×unit, a required cell empty, or qty/£ non-positive"))</f>
        <v>PASS</v>
      </c>
      <c r="P36" s="70"/>
      <c r="Q36" s="16" t="str">
        <f aca="false">IF(AND(LEN(TRIM(B36&amp;""))&gt;0,TRIM(B36&amp;"")&lt;&gt;"—",LEN(TRIM(C36&amp;""))&gt;0,TRIM(C36&amp;"")&lt;&gt;"—",ISNUMBER(C36),LEN(TRIM(F36&amp;""))&gt;0,TRIM(F36&amp;"")&lt;&gt;"—",LEN(TRIM(I36&amp;""))&gt;0,TRIM(I36&amp;"")&lt;&gt;"—",LEN(TRIM(J36&amp;""))&gt;0,TRIM(J36&amp;"")&lt;&gt;"—",LEN(TRIM(O36&amp;""))&gt;0,TRIM(O36&amp;"")&lt;&gt;"—"),"PASS","⚠ FAIL — "&amp;"a required cell is empty/placeholder or wrong type")</f>
        <v>PASS</v>
      </c>
    </row>
    <row r="37" customFormat="false" ht="15" hidden="true" customHeight="false" outlineLevel="1" collapsed="false">
      <c r="A37" s="11" t="s">
        <v>508</v>
      </c>
      <c r="B37" s="68" t="s">
        <v>497</v>
      </c>
      <c r="C37" s="28" t="n">
        <v>1</v>
      </c>
      <c r="D37" s="11" t="s">
        <v>479</v>
      </c>
      <c r="E37" s="11" t="s">
        <v>480</v>
      </c>
      <c r="F37" s="11" t="s">
        <v>429</v>
      </c>
      <c r="G37" s="15" t="s">
        <v>481</v>
      </c>
      <c r="H37" s="15"/>
      <c r="I37" s="11" t="n">
        <v>4</v>
      </c>
      <c r="J37" s="11" t="s">
        <v>432</v>
      </c>
      <c r="O37" s="69" t="str">
        <f aca="false">IF(AND(LEN(TRIM($B37&amp;""))&gt;0,LEN(TRIM($P37&amp;""))=0),"PASS","FAIL — "&amp;IF(LEN(TRIM($P37&amp;""))&gt;0,TRIM($P37&amp;""),"line ≠ qty×unit, a required cell empty, or qty/£ non-positive"))</f>
        <v>PASS</v>
      </c>
      <c r="P37" s="70"/>
      <c r="Q37" s="16" t="str">
        <f aca="false">IF(AND(LEN(TRIM(B37&amp;""))&gt;0,TRIM(B37&amp;"")&lt;&gt;"—",LEN(TRIM(C37&amp;""))&gt;0,TRIM(C37&amp;"")&lt;&gt;"—",ISNUMBER(C37),LEN(TRIM(F37&amp;""))&gt;0,TRIM(F37&amp;"")&lt;&gt;"—",LEN(TRIM(I37&amp;""))&gt;0,TRIM(I37&amp;"")&lt;&gt;"—",LEN(TRIM(J37&amp;""))&gt;0,TRIM(J37&amp;"")&lt;&gt;"—",LEN(TRIM(O37&amp;""))&gt;0,TRIM(O37&amp;"")&lt;&gt;"—"),"PASS","⚠ FAIL — "&amp;"a required cell is empty/placeholder or wrong type")</f>
        <v>PASS</v>
      </c>
    </row>
    <row r="38" customFormat="false" ht="15" hidden="true" customHeight="false" outlineLevel="1" collapsed="false">
      <c r="A38" s="11" t="s">
        <v>509</v>
      </c>
      <c r="B38" s="68" t="s">
        <v>499</v>
      </c>
      <c r="C38" s="28" t="n">
        <v>1</v>
      </c>
      <c r="D38" s="11" t="s">
        <v>479</v>
      </c>
      <c r="E38" s="11" t="s">
        <v>480</v>
      </c>
      <c r="F38" s="11" t="s">
        <v>436</v>
      </c>
      <c r="G38" s="15" t="s">
        <v>481</v>
      </c>
      <c r="H38" s="15"/>
      <c r="I38" s="11" t="n">
        <v>5</v>
      </c>
      <c r="J38" s="11" t="s">
        <v>432</v>
      </c>
      <c r="O38" s="69" t="str">
        <f aca="false">IF(AND(LEN(TRIM($B38&amp;""))&gt;0,LEN(TRIM($P38&amp;""))=0),"PASS","FAIL — "&amp;IF(LEN(TRIM($P38&amp;""))&gt;0,TRIM($P38&amp;""),"line ≠ qty×unit, a required cell empty, or qty/£ non-positive"))</f>
        <v>PASS</v>
      </c>
      <c r="P38" s="70"/>
      <c r="Q38" s="16" t="str">
        <f aca="false">IF(AND(LEN(TRIM(B38&amp;""))&gt;0,TRIM(B38&amp;"")&lt;&gt;"—",LEN(TRIM(C38&amp;""))&gt;0,TRIM(C38&amp;"")&lt;&gt;"—",ISNUMBER(C38),LEN(TRIM(F38&amp;""))&gt;0,TRIM(F38&amp;"")&lt;&gt;"—",LEN(TRIM(I38&amp;""))&gt;0,TRIM(I38&amp;"")&lt;&gt;"—",LEN(TRIM(J38&amp;""))&gt;0,TRIM(J38&amp;"")&lt;&gt;"—",LEN(TRIM(O38&amp;""))&gt;0,TRIM(O38&amp;"")&lt;&gt;"—"),"PASS","⚠ FAIL — "&amp;"a required cell is empty/placeholder or wrong type")</f>
        <v>PASS</v>
      </c>
    </row>
    <row r="39" customFormat="false" ht="32.8" hidden="false" customHeight="false" outlineLevel="0" collapsed="false">
      <c r="A39" s="11" t="str">
        <f aca="false">'Part names'!$A$72</f>
        <v>X-102</v>
      </c>
      <c r="B39" s="68" t="str">
        <f aca="false">'Part names'!$B$72</f>
        <v>Piping Network</v>
      </c>
      <c r="C39" s="28" t="n">
        <v>1</v>
      </c>
      <c r="D39" s="36" t="n">
        <v>9</v>
      </c>
      <c r="E39" s="36" t="n">
        <v>9</v>
      </c>
      <c r="F39" s="11" t="s">
        <v>429</v>
      </c>
      <c r="G39" s="15" t="s">
        <v>469</v>
      </c>
      <c r="H39" s="15" t="s">
        <v>438</v>
      </c>
      <c r="I39" s="11" t="n">
        <v>4</v>
      </c>
      <c r="J39" s="11" t="s">
        <v>432</v>
      </c>
      <c r="K39" s="15" t="s">
        <v>510</v>
      </c>
      <c r="L39" s="15" t="s">
        <v>425</v>
      </c>
      <c r="M39" s="15" t="s">
        <v>445</v>
      </c>
      <c r="N39" s="71" t="s">
        <v>435</v>
      </c>
      <c r="O39" s="69" t="str">
        <f aca="false">IF(AND(LEN(TRIM($B39&amp;""))&gt;0,ISNUMBER($C39),$C39&gt;0,ISNUMBER($D39),$D39&gt;0,ISNUMBER($E39),$E39&gt;0,ABS($E39-$C39*$D39)&lt;=MAX(1,0.005*ABS($E39)),LEN(TRIM($M39&amp;""))&gt;0,TRIM($M39&amp;"")&lt;&gt;"—",LEN(TRIM($P39&amp;""))=0),"PASS","FAIL — "&amp;IF(LEN(TRIM($P39&amp;""))&gt;0,TRIM($P39&amp;""),"line ≠ qty×unit, a required cell empty, or qty/£ non-positive"))</f>
        <v>PASS</v>
      </c>
      <c r="P39" s="70"/>
      <c r="Q39" s="16" t="str">
        <f aca="false">IF(AND(LEN(TRIM(A39&amp;""))&gt;0,TRIM(A39&amp;"")&lt;&gt;"—",LEN(TRIM(B39&amp;""))&gt;0,TRIM(B39&amp;"")&lt;&gt;"—",LEN(TRIM(C39&amp;""))&gt;0,TRIM(C39&amp;"")&lt;&gt;"—",ISNUMBER(C39),LEN(TRIM(D39&amp;""))&gt;0,TRIM(D39&amp;"")&lt;&gt;"—",ISNUMBER(D39),LEN(TRIM(E39&amp;""))&gt;0,TRIM(E39&amp;"")&lt;&gt;"—",ISNUMBER(E39),LEN(TRIM(F39&amp;""))&gt;0,TRIM(F39&amp;"")&lt;&gt;"—",LEN(TRIM(I39&amp;""))&gt;0,TRIM(I39&amp;"")&lt;&gt;"—",LEN(TRIM(J39&amp;""))&gt;0,TRIM(J39&amp;"")&lt;&gt;"—",LEN(TRIM(O39&amp;""))&gt;0,TRIM(O39&amp;"")&lt;&gt;"—"),"PASS","⚠ FAIL — "&amp;"a required cell is empty/placeholder or wrong type")</f>
        <v>PASS</v>
      </c>
    </row>
    <row r="40" customFormat="false" ht="23.85" hidden="false" customHeight="false" outlineLevel="0" collapsed="false">
      <c r="A40" s="11" t="str">
        <f aca="false">'Part names'!$A$10</f>
        <v>X-112 / V-111</v>
      </c>
      <c r="B40" s="68" t="str">
        <f aca="false">'Part names'!$B$10</f>
        <v>Check Valve</v>
      </c>
      <c r="C40" s="28" t="n">
        <v>2</v>
      </c>
      <c r="D40" s="36" t="n">
        <v>9</v>
      </c>
      <c r="E40" s="36" t="n">
        <v>18</v>
      </c>
      <c r="F40" s="11" t="s">
        <v>436</v>
      </c>
      <c r="G40" s="15" t="s">
        <v>437</v>
      </c>
      <c r="H40" s="15" t="s">
        <v>438</v>
      </c>
      <c r="I40" s="11" t="n">
        <v>5</v>
      </c>
      <c r="J40" s="11" t="s">
        <v>432</v>
      </c>
      <c r="K40" s="15" t="s">
        <v>511</v>
      </c>
      <c r="L40" s="68" t="s">
        <v>512</v>
      </c>
      <c r="M40" s="15" t="s">
        <v>513</v>
      </c>
      <c r="N40" s="15" t="s">
        <v>441</v>
      </c>
      <c r="O40" s="69" t="str">
        <f aca="false">IF(AND(LEN(TRIM($B40&amp;""))&gt;0,ISNUMBER($C40),$C40&gt;0,ISNUMBER($D40),$D40&gt;0,ISNUMBER($E40),$E40&gt;0,ABS($E40-$C40*$D40)&lt;=MAX(1,0.005*ABS($E40)),LEN(TRIM($M40&amp;""))&gt;0,TRIM($M40&amp;"")&lt;&gt;"—",LEN(TRIM($P40&amp;""))=0),"PASS","FAIL — "&amp;IF(LEN(TRIM($P40&amp;""))&gt;0,TRIM($P40&amp;""),"line ≠ qty×unit, a required cell empty, or qty/£ non-positive"))</f>
        <v>PASS</v>
      </c>
      <c r="P40" s="70"/>
      <c r="Q40" s="16" t="str">
        <f aca="false">IF(AND(LEN(TRIM(A40&amp;""))&gt;0,TRIM(A40&amp;"")&lt;&gt;"—",LEN(TRIM(B40&amp;""))&gt;0,TRIM(B40&amp;"")&lt;&gt;"—",LEN(TRIM(C40&amp;""))&gt;0,TRIM(C40&amp;"")&lt;&gt;"—",ISNUMBER(C40),LEN(TRIM(D40&amp;""))&gt;0,TRIM(D40&amp;"")&lt;&gt;"—",ISNUMBER(D40),LEN(TRIM(E40&amp;""))&gt;0,TRIM(E40&amp;"")&lt;&gt;"—",ISNUMBER(E40),LEN(TRIM(F40&amp;""))&gt;0,TRIM(F40&amp;"")&lt;&gt;"—",LEN(TRIM(I40&amp;""))&gt;0,TRIM(I40&amp;"")&lt;&gt;"—",LEN(TRIM(J40&amp;""))&gt;0,TRIM(J40&amp;"")&lt;&gt;"—",LEN(TRIM(O40&amp;""))&gt;0,TRIM(O40&amp;"")&lt;&gt;"—"),"PASS","⚠ FAIL — "&amp;"a required cell is empty/placeholder or wrong type")</f>
        <v>PASS</v>
      </c>
    </row>
    <row r="41" customFormat="false" ht="32.8" hidden="false" customHeight="false" outlineLevel="0" collapsed="false">
      <c r="A41" s="11" t="str">
        <f aca="false">'Part names'!$A$45</f>
        <v>X-113</v>
      </c>
      <c r="B41" s="68" t="str">
        <f aca="false">'Part names'!$B$45</f>
        <v>Hydraulic Connectors</v>
      </c>
      <c r="C41" s="28" t="n">
        <v>1</v>
      </c>
      <c r="D41" s="36" t="n">
        <v>1</v>
      </c>
      <c r="E41" s="36" t="n">
        <v>1</v>
      </c>
      <c r="F41" s="11" t="s">
        <v>436</v>
      </c>
      <c r="G41" s="15" t="s">
        <v>437</v>
      </c>
      <c r="H41" s="15" t="s">
        <v>438</v>
      </c>
      <c r="I41" s="11" t="n">
        <v>5</v>
      </c>
      <c r="J41" s="11" t="s">
        <v>432</v>
      </c>
      <c r="K41" s="15" t="s">
        <v>514</v>
      </c>
      <c r="L41" s="15" t="s">
        <v>425</v>
      </c>
      <c r="M41" s="15" t="s">
        <v>445</v>
      </c>
      <c r="N41" s="15" t="s">
        <v>441</v>
      </c>
      <c r="O41" s="69" t="str">
        <f aca="false">IF(AND(LEN(TRIM($B41&amp;""))&gt;0,ISNUMBER($C41),$C41&gt;0,ISNUMBER($D41),$D41&gt;0,ISNUMBER($E41),$E41&gt;0,ABS($E41-$C41*$D41)&lt;=MAX(1,0.005*ABS($E41)),LEN(TRIM($M41&amp;""))&gt;0,TRIM($M41&amp;"")&lt;&gt;"—",LEN(TRIM($P41&amp;""))=0),"PASS","FAIL — "&amp;IF(LEN(TRIM($P41&amp;""))&gt;0,TRIM($P41&amp;""),"line ≠ qty×unit, a required cell empty, or qty/£ non-positive"))</f>
        <v>PASS</v>
      </c>
      <c r="P41" s="70"/>
      <c r="Q41" s="16" t="str">
        <f aca="false">IF(AND(LEN(TRIM(A41&amp;""))&gt;0,TRIM(A41&amp;"")&lt;&gt;"—",LEN(TRIM(B41&amp;""))&gt;0,TRIM(B41&amp;"")&lt;&gt;"—",LEN(TRIM(C41&amp;""))&gt;0,TRIM(C41&amp;"")&lt;&gt;"—",ISNUMBER(C41),LEN(TRIM(D41&amp;""))&gt;0,TRIM(D41&amp;"")&lt;&gt;"—",ISNUMBER(D41),LEN(TRIM(E41&amp;""))&gt;0,TRIM(E41&amp;"")&lt;&gt;"—",ISNUMBER(E41),LEN(TRIM(F41&amp;""))&gt;0,TRIM(F41&amp;"")&lt;&gt;"—",LEN(TRIM(I41&amp;""))&gt;0,TRIM(I41&amp;"")&lt;&gt;"—",LEN(TRIM(J41&amp;""))&gt;0,TRIM(J41&amp;"")&lt;&gt;"—",LEN(TRIM(O41&amp;""))&gt;0,TRIM(O41&amp;"")&lt;&gt;"—"),"PASS","⚠ FAIL — "&amp;"a required cell is empty/placeholder or wrong type")</f>
        <v>PASS</v>
      </c>
    </row>
    <row r="42" customFormat="false" ht="43.25" hidden="false" customHeight="false" outlineLevel="0" collapsed="true">
      <c r="A42" s="11" t="str">
        <f aca="false">'Part names'!$A$98</f>
        <v>V-102</v>
      </c>
      <c r="B42" s="68" t="str">
        <f aca="false">'Part names'!$B$98 &amp; "  · 4 kW · 600x510x660 mm"</f>
        <v>Uv Disinfection  · 4 kW · 600x510x660 mm</v>
      </c>
      <c r="C42" s="28" t="n">
        <v>1</v>
      </c>
      <c r="D42" s="36" t="n">
        <v>17540</v>
      </c>
      <c r="E42" s="36" t="n">
        <v>17540</v>
      </c>
      <c r="F42" s="11" t="s">
        <v>429</v>
      </c>
      <c r="G42" s="15" t="s">
        <v>515</v>
      </c>
      <c r="H42" s="15" t="s">
        <v>516</v>
      </c>
      <c r="I42" s="11" t="n">
        <v>4</v>
      </c>
      <c r="J42" s="11" t="s">
        <v>432</v>
      </c>
      <c r="K42" s="15" t="s">
        <v>517</v>
      </c>
      <c r="L42" s="68" t="s">
        <v>512</v>
      </c>
      <c r="M42" s="15" t="s">
        <v>518</v>
      </c>
      <c r="N42" s="68" t="s">
        <v>519</v>
      </c>
      <c r="O42" s="69" t="str">
        <f aca="false">IF(AND(LEN(TRIM($B42&amp;""))&gt;0,ISNUMBER($C42),$C42&gt;0,ISNUMBER($D42),$D42&gt;0,ISNUMBER($E42),$E42&gt;0,ABS($E42-$C42*$D42)&lt;=MAX(1,0.005*ABS($E42)),LEN(TRIM($M42&amp;""))&gt;0,TRIM($M42&amp;"")&lt;&gt;"—",LEN(TRIM($P42&amp;""))=0),"PASS","FAIL — "&amp;IF(LEN(TRIM($P42&amp;""))&gt;0,TRIM($P42&amp;""),"line ≠ qty×unit, a required cell empty, or qty/£ non-positive"))</f>
        <v>PASS</v>
      </c>
      <c r="P42" s="70"/>
      <c r="Q42" s="16" t="str">
        <f aca="false">IF(AND(LEN(TRIM(A42&amp;""))&gt;0,TRIM(A42&amp;"")&lt;&gt;"—",LEN(TRIM(B42&amp;""))&gt;0,TRIM(B42&amp;"")&lt;&gt;"—",LEN(TRIM(C42&amp;""))&gt;0,TRIM(C42&amp;"")&lt;&gt;"—",ISNUMBER(C42),LEN(TRIM(D42&amp;""))&gt;0,TRIM(D42&amp;"")&lt;&gt;"—",ISNUMBER(D42),LEN(TRIM(E42&amp;""))&gt;0,TRIM(E42&amp;"")&lt;&gt;"—",ISNUMBER(E42),LEN(TRIM(F42&amp;""))&gt;0,TRIM(F42&amp;"")&lt;&gt;"—",LEN(TRIM(I42&amp;""))&gt;0,TRIM(I42&amp;"")&lt;&gt;"—",LEN(TRIM(J42&amp;""))&gt;0,TRIM(J42&amp;"")&lt;&gt;"—",LEN(TRIM(O42&amp;""))&gt;0,TRIM(O42&amp;"")&lt;&gt;"—"),"PASS","⚠ FAIL — "&amp;"a required cell is empty/placeholder or wrong type")</f>
        <v>PASS</v>
      </c>
    </row>
    <row r="43" customFormat="false" ht="15" hidden="true" customHeight="false" outlineLevel="1" collapsed="false">
      <c r="A43" s="11" t="s">
        <v>520</v>
      </c>
      <c r="B43" s="68" t="s">
        <v>521</v>
      </c>
      <c r="C43" s="28" t="n">
        <v>1</v>
      </c>
      <c r="D43" s="11" t="s">
        <v>479</v>
      </c>
      <c r="E43" s="11" t="s">
        <v>480</v>
      </c>
      <c r="F43" s="11" t="s">
        <v>429</v>
      </c>
      <c r="G43" s="15" t="s">
        <v>481</v>
      </c>
      <c r="H43" s="15"/>
      <c r="I43" s="11" t="n">
        <v>4</v>
      </c>
      <c r="J43" s="11" t="s">
        <v>432</v>
      </c>
      <c r="O43" s="69" t="str">
        <f aca="false">IF(AND(LEN(TRIM($B43&amp;""))&gt;0,LEN(TRIM($P43&amp;""))=0),"PASS","FAIL — "&amp;IF(LEN(TRIM($P43&amp;""))&gt;0,TRIM($P43&amp;""),"line ≠ qty×unit, a required cell empty, or qty/£ non-positive"))</f>
        <v>PASS</v>
      </c>
      <c r="P43" s="70"/>
      <c r="Q43" s="16" t="str">
        <f aca="false">IF(AND(LEN(TRIM(B43&amp;""))&gt;0,TRIM(B43&amp;"")&lt;&gt;"—",LEN(TRIM(C43&amp;""))&gt;0,TRIM(C43&amp;"")&lt;&gt;"—",ISNUMBER(C43),LEN(TRIM(F43&amp;""))&gt;0,TRIM(F43&amp;"")&lt;&gt;"—",LEN(TRIM(I43&amp;""))&gt;0,TRIM(I43&amp;"")&lt;&gt;"—",LEN(TRIM(J43&amp;""))&gt;0,TRIM(J43&amp;"")&lt;&gt;"—",LEN(TRIM(O43&amp;""))&gt;0,TRIM(O43&amp;"")&lt;&gt;"—"),"PASS","⚠ FAIL — "&amp;"a required cell is empty/placeholder or wrong type")</f>
        <v>PASS</v>
      </c>
    </row>
    <row r="44" customFormat="false" ht="15" hidden="true" customHeight="false" outlineLevel="1" collapsed="false">
      <c r="A44" s="11" t="s">
        <v>522</v>
      </c>
      <c r="B44" s="68" t="s">
        <v>523</v>
      </c>
      <c r="C44" s="28" t="n">
        <v>1</v>
      </c>
      <c r="D44" s="11" t="s">
        <v>479</v>
      </c>
      <c r="E44" s="11" t="s">
        <v>480</v>
      </c>
      <c r="F44" s="11" t="s">
        <v>429</v>
      </c>
      <c r="G44" s="15" t="s">
        <v>481</v>
      </c>
      <c r="H44" s="15"/>
      <c r="I44" s="11" t="n">
        <v>4</v>
      </c>
      <c r="J44" s="11" t="s">
        <v>432</v>
      </c>
      <c r="O44" s="69" t="str">
        <f aca="false">IF(AND(LEN(TRIM($B44&amp;""))&gt;0,LEN(TRIM($P44&amp;""))=0),"PASS","FAIL — "&amp;IF(LEN(TRIM($P44&amp;""))&gt;0,TRIM($P44&amp;""),"line ≠ qty×unit, a required cell empty, or qty/£ non-positive"))</f>
        <v>PASS</v>
      </c>
      <c r="P44" s="70"/>
      <c r="Q44" s="16" t="str">
        <f aca="false">IF(AND(LEN(TRIM(B44&amp;""))&gt;0,TRIM(B44&amp;"")&lt;&gt;"—",LEN(TRIM(C44&amp;""))&gt;0,TRIM(C44&amp;"")&lt;&gt;"—",ISNUMBER(C44),LEN(TRIM(F44&amp;""))&gt;0,TRIM(F44&amp;"")&lt;&gt;"—",LEN(TRIM(I44&amp;""))&gt;0,TRIM(I44&amp;"")&lt;&gt;"—",LEN(TRIM(J44&amp;""))&gt;0,TRIM(J44&amp;"")&lt;&gt;"—",LEN(TRIM(O44&amp;""))&gt;0,TRIM(O44&amp;"")&lt;&gt;"—"),"PASS","⚠ FAIL — "&amp;"a required cell is empty/placeholder or wrong type")</f>
        <v>PASS</v>
      </c>
    </row>
    <row r="45" customFormat="false" ht="15" hidden="true" customHeight="false" outlineLevel="1" collapsed="false">
      <c r="A45" s="11" t="s">
        <v>524</v>
      </c>
      <c r="B45" s="68" t="s">
        <v>525</v>
      </c>
      <c r="C45" s="28" t="n">
        <v>1</v>
      </c>
      <c r="D45" s="11" t="s">
        <v>479</v>
      </c>
      <c r="E45" s="11" t="s">
        <v>480</v>
      </c>
      <c r="F45" s="11" t="s">
        <v>429</v>
      </c>
      <c r="G45" s="15" t="s">
        <v>481</v>
      </c>
      <c r="H45" s="15"/>
      <c r="I45" s="11" t="n">
        <v>4</v>
      </c>
      <c r="J45" s="11" t="s">
        <v>432</v>
      </c>
      <c r="O45" s="69" t="str">
        <f aca="false">IF(AND(LEN(TRIM($B45&amp;""))&gt;0,LEN(TRIM($P45&amp;""))=0),"PASS","FAIL — "&amp;IF(LEN(TRIM($P45&amp;""))&gt;0,TRIM($P45&amp;""),"line ≠ qty×unit, a required cell empty, or qty/£ non-positive"))</f>
        <v>PASS</v>
      </c>
      <c r="P45" s="70"/>
      <c r="Q45" s="16" t="str">
        <f aca="false">IF(AND(LEN(TRIM(B45&amp;""))&gt;0,TRIM(B45&amp;"")&lt;&gt;"—",LEN(TRIM(C45&amp;""))&gt;0,TRIM(C45&amp;"")&lt;&gt;"—",ISNUMBER(C45),LEN(TRIM(F45&amp;""))&gt;0,TRIM(F45&amp;"")&lt;&gt;"—",LEN(TRIM(I45&amp;""))&gt;0,TRIM(I45&amp;"")&lt;&gt;"—",LEN(TRIM(J45&amp;""))&gt;0,TRIM(J45&amp;"")&lt;&gt;"—",LEN(TRIM(O45&amp;""))&gt;0,TRIM(O45&amp;"")&lt;&gt;"—"),"PASS","⚠ FAIL — "&amp;"a required cell is empty/placeholder or wrong type")</f>
        <v>PASS</v>
      </c>
    </row>
    <row r="46" customFormat="false" ht="15" hidden="true" customHeight="false" outlineLevel="1" collapsed="false">
      <c r="A46" s="11" t="s">
        <v>526</v>
      </c>
      <c r="B46" s="68" t="s">
        <v>527</v>
      </c>
      <c r="C46" s="28" t="n">
        <v>1</v>
      </c>
      <c r="D46" s="11" t="s">
        <v>479</v>
      </c>
      <c r="E46" s="11" t="s">
        <v>480</v>
      </c>
      <c r="F46" s="11" t="s">
        <v>429</v>
      </c>
      <c r="G46" s="15" t="s">
        <v>481</v>
      </c>
      <c r="H46" s="15"/>
      <c r="I46" s="11" t="n">
        <v>4</v>
      </c>
      <c r="J46" s="11" t="s">
        <v>432</v>
      </c>
      <c r="O46" s="69" t="str">
        <f aca="false">IF(AND(LEN(TRIM($B46&amp;""))&gt;0,LEN(TRIM($P46&amp;""))=0),"PASS","FAIL — "&amp;IF(LEN(TRIM($P46&amp;""))&gt;0,TRIM($P46&amp;""),"line ≠ qty×unit, a required cell empty, or qty/£ non-positive"))</f>
        <v>PASS</v>
      </c>
      <c r="P46" s="70"/>
      <c r="Q46" s="16" t="str">
        <f aca="false">IF(AND(LEN(TRIM(B46&amp;""))&gt;0,TRIM(B46&amp;"")&lt;&gt;"—",LEN(TRIM(C46&amp;""))&gt;0,TRIM(C46&amp;"")&lt;&gt;"—",ISNUMBER(C46),LEN(TRIM(F46&amp;""))&gt;0,TRIM(F46&amp;"")&lt;&gt;"—",LEN(TRIM(I46&amp;""))&gt;0,TRIM(I46&amp;"")&lt;&gt;"—",LEN(TRIM(J46&amp;""))&gt;0,TRIM(J46&amp;"")&lt;&gt;"—",LEN(TRIM(O46&amp;""))&gt;0,TRIM(O46&amp;"")&lt;&gt;"—"),"PASS","⚠ FAIL — "&amp;"a required cell is empty/placeholder or wrong type")</f>
        <v>PASS</v>
      </c>
    </row>
    <row r="47" customFormat="false" ht="15" hidden="true" customHeight="false" outlineLevel="1" collapsed="false">
      <c r="A47" s="11" t="s">
        <v>528</v>
      </c>
      <c r="B47" s="68" t="s">
        <v>529</v>
      </c>
      <c r="C47" s="28" t="n">
        <v>1</v>
      </c>
      <c r="D47" s="11" t="s">
        <v>479</v>
      </c>
      <c r="E47" s="11" t="s">
        <v>480</v>
      </c>
      <c r="F47" s="11" t="s">
        <v>429</v>
      </c>
      <c r="G47" s="15"/>
      <c r="H47" s="15" t="s">
        <v>421</v>
      </c>
      <c r="I47" s="11" t="n">
        <v>4</v>
      </c>
      <c r="J47" s="11" t="s">
        <v>432</v>
      </c>
      <c r="O47" s="69" t="str">
        <f aca="false">IF(AND(LEN(TRIM($B47&amp;""))&gt;0,LEN(TRIM($P47&amp;""))=0),"PASS","FAIL — "&amp;IF(LEN(TRIM($P47&amp;""))&gt;0,TRIM($P47&amp;""),"line ≠ qty×unit, a required cell empty, or qty/£ non-positive"))</f>
        <v>PASS</v>
      </c>
      <c r="P47" s="70"/>
      <c r="Q47" s="16" t="str">
        <f aca="false">IF(AND(LEN(TRIM(B47&amp;""))&gt;0,TRIM(B47&amp;"")&lt;&gt;"—",LEN(TRIM(C47&amp;""))&gt;0,TRIM(C47&amp;"")&lt;&gt;"—",ISNUMBER(C47),LEN(TRIM(F47&amp;""))&gt;0,TRIM(F47&amp;"")&lt;&gt;"—",LEN(TRIM(I47&amp;""))&gt;0,TRIM(I47&amp;"")&lt;&gt;"—",LEN(TRIM(J47&amp;""))&gt;0,TRIM(J47&amp;"")&lt;&gt;"—",LEN(TRIM(O47&amp;""))&gt;0,TRIM(O47&amp;"")&lt;&gt;"—"),"PASS","⚠ FAIL — "&amp;"a required cell is empty/placeholder or wrong type")</f>
        <v>PASS</v>
      </c>
    </row>
    <row r="48" customFormat="false" ht="15" hidden="true" customHeight="false" outlineLevel="1" collapsed="false">
      <c r="A48" s="11" t="s">
        <v>530</v>
      </c>
      <c r="B48" s="68" t="s">
        <v>531</v>
      </c>
      <c r="C48" s="28" t="n">
        <v>1</v>
      </c>
      <c r="D48" s="11" t="s">
        <v>479</v>
      </c>
      <c r="E48" s="11" t="s">
        <v>480</v>
      </c>
      <c r="F48" s="11" t="s">
        <v>436</v>
      </c>
      <c r="G48" s="15" t="s">
        <v>481</v>
      </c>
      <c r="H48" s="15"/>
      <c r="I48" s="11" t="n">
        <v>5</v>
      </c>
      <c r="J48" s="11" t="s">
        <v>432</v>
      </c>
      <c r="O48" s="69" t="str">
        <f aca="false">IF(AND(LEN(TRIM($B48&amp;""))&gt;0,LEN(TRIM($P48&amp;""))=0),"PASS","FAIL — "&amp;IF(LEN(TRIM($P48&amp;""))&gt;0,TRIM($P48&amp;""),"line ≠ qty×unit, a required cell empty, or qty/£ non-positive"))</f>
        <v>PASS</v>
      </c>
      <c r="P48" s="70"/>
      <c r="Q48" s="16" t="str">
        <f aca="false">IF(AND(LEN(TRIM(B48&amp;""))&gt;0,TRIM(B48&amp;"")&lt;&gt;"—",LEN(TRIM(C48&amp;""))&gt;0,TRIM(C48&amp;"")&lt;&gt;"—",ISNUMBER(C48),LEN(TRIM(F48&amp;""))&gt;0,TRIM(F48&amp;"")&lt;&gt;"—",LEN(TRIM(I48&amp;""))&gt;0,TRIM(I48&amp;"")&lt;&gt;"—",LEN(TRIM(J48&amp;""))&gt;0,TRIM(J48&amp;"")&lt;&gt;"—",LEN(TRIM(O48&amp;""))&gt;0,TRIM(O48&amp;"")&lt;&gt;"—"),"PASS","⚠ FAIL — "&amp;"a required cell is empty/placeholder or wrong type")</f>
        <v>PASS</v>
      </c>
    </row>
    <row r="49" customFormat="false" ht="15" hidden="true" customHeight="false" outlineLevel="1" collapsed="false">
      <c r="A49" s="11" t="s">
        <v>532</v>
      </c>
      <c r="B49" s="68" t="s">
        <v>533</v>
      </c>
      <c r="C49" s="28" t="n">
        <v>1</v>
      </c>
      <c r="D49" s="11" t="s">
        <v>479</v>
      </c>
      <c r="E49" s="11" t="s">
        <v>480</v>
      </c>
      <c r="F49" s="11" t="s">
        <v>436</v>
      </c>
      <c r="G49" s="15" t="s">
        <v>481</v>
      </c>
      <c r="H49" s="15"/>
      <c r="I49" s="11" t="n">
        <v>5</v>
      </c>
      <c r="J49" s="11" t="s">
        <v>432</v>
      </c>
      <c r="O49" s="69" t="str">
        <f aca="false">IF(AND(LEN(TRIM($B49&amp;""))&gt;0,LEN(TRIM($P49&amp;""))=0),"PASS","FAIL — "&amp;IF(LEN(TRIM($P49&amp;""))&gt;0,TRIM($P49&amp;""),"line ≠ qty×unit, a required cell empty, or qty/£ non-positive"))</f>
        <v>PASS</v>
      </c>
      <c r="P49" s="70"/>
      <c r="Q49" s="16" t="str">
        <f aca="false">IF(AND(LEN(TRIM(B49&amp;""))&gt;0,TRIM(B49&amp;"")&lt;&gt;"—",LEN(TRIM(C49&amp;""))&gt;0,TRIM(C49&amp;"")&lt;&gt;"—",ISNUMBER(C49),LEN(TRIM(F49&amp;""))&gt;0,TRIM(F49&amp;"")&lt;&gt;"—",LEN(TRIM(I49&amp;""))&gt;0,TRIM(I49&amp;"")&lt;&gt;"—",LEN(TRIM(J49&amp;""))&gt;0,TRIM(J49&amp;"")&lt;&gt;"—",LEN(TRIM(O49&amp;""))&gt;0,TRIM(O49&amp;"")&lt;&gt;"—"),"PASS","⚠ FAIL — "&amp;"a required cell is empty/placeholder or wrong type")</f>
        <v>PASS</v>
      </c>
    </row>
    <row r="50" customFormat="false" ht="95.5" hidden="false" customHeight="false" outlineLevel="0" collapsed="true">
      <c r="A50" s="11" t="str">
        <f aca="false">'Part names'!$A$87</f>
        <v>V-106</v>
      </c>
      <c r="B50" s="68" t="str">
        <f aca="false">'Part names'!$B$87 &amp; "  · 1.2 m dia x 1.3 m"</f>
        <v>Softener Vessel  · 1.2 m dia x 1.3 m</v>
      </c>
      <c r="C50" s="28" t="n">
        <v>2</v>
      </c>
      <c r="D50" s="36" t="n">
        <v>8000</v>
      </c>
      <c r="E50" s="36" t="n">
        <v>16000</v>
      </c>
      <c r="F50" s="11" t="s">
        <v>429</v>
      </c>
      <c r="G50" s="15" t="s">
        <v>534</v>
      </c>
      <c r="H50" s="15" t="s">
        <v>535</v>
      </c>
      <c r="I50" s="11" t="n">
        <v>4</v>
      </c>
      <c r="J50" s="11" t="s">
        <v>432</v>
      </c>
      <c r="K50" s="15" t="s">
        <v>536</v>
      </c>
      <c r="L50" s="68" t="s">
        <v>537</v>
      </c>
      <c r="M50" s="15" t="s">
        <v>538</v>
      </c>
      <c r="N50" s="68" t="s">
        <v>539</v>
      </c>
      <c r="O50" s="69" t="str">
        <f aca="false">IF(AND(LEN(TRIM($B50&amp;""))&gt;0,ISNUMBER($C50),$C50&gt;0,ISNUMBER($D50),$D50&gt;0,ISNUMBER($E50),$E50&gt;0,ABS($E50-$C50*$D50)&lt;=MAX(1,0.005*ABS($E50)),LEN(TRIM($M50&amp;""))&gt;0,TRIM($M50&amp;"")&lt;&gt;"—",LEN(TRIM($P50&amp;""))=0),"PASS","FAIL — "&amp;IF(LEN(TRIM($P50&amp;""))&gt;0,TRIM($P50&amp;""),"line ≠ qty×unit, a required cell empty, or qty/£ non-positive"))</f>
        <v>PASS</v>
      </c>
      <c r="P50" s="70"/>
      <c r="Q50" s="16" t="str">
        <f aca="false">IF(AND(LEN(TRIM(A50&amp;""))&gt;0,TRIM(A50&amp;"")&lt;&gt;"—",LEN(TRIM(B50&amp;""))&gt;0,TRIM(B50&amp;"")&lt;&gt;"—",LEN(TRIM(C50&amp;""))&gt;0,TRIM(C50&amp;"")&lt;&gt;"—",ISNUMBER(C50),LEN(TRIM(D50&amp;""))&gt;0,TRIM(D50&amp;"")&lt;&gt;"—",ISNUMBER(D50),LEN(TRIM(E50&amp;""))&gt;0,TRIM(E50&amp;"")&lt;&gt;"—",ISNUMBER(E50),LEN(TRIM(F50&amp;""))&gt;0,TRIM(F50&amp;"")&lt;&gt;"—",LEN(TRIM(I50&amp;""))&gt;0,TRIM(I50&amp;"")&lt;&gt;"—",LEN(TRIM(J50&amp;""))&gt;0,TRIM(J50&amp;"")&lt;&gt;"—",LEN(TRIM(O50&amp;""))&gt;0,TRIM(O50&amp;"")&lt;&gt;"—"),"PASS","⚠ FAIL — "&amp;"a required cell is empty/placeholder or wrong type")</f>
        <v>PASS</v>
      </c>
    </row>
    <row r="51" customFormat="false" ht="15" hidden="true" customHeight="false" outlineLevel="1" collapsed="false">
      <c r="A51" s="11" t="s">
        <v>540</v>
      </c>
      <c r="B51" s="68" t="s">
        <v>541</v>
      </c>
      <c r="C51" s="28" t="n">
        <v>1</v>
      </c>
      <c r="D51" s="11" t="s">
        <v>479</v>
      </c>
      <c r="E51" s="11" t="s">
        <v>480</v>
      </c>
      <c r="F51" s="11" t="s">
        <v>436</v>
      </c>
      <c r="G51" s="15" t="s">
        <v>481</v>
      </c>
      <c r="H51" s="15"/>
      <c r="I51" s="11" t="n">
        <v>5</v>
      </c>
      <c r="J51" s="11" t="s">
        <v>432</v>
      </c>
      <c r="O51" s="69" t="str">
        <f aca="false">IF(AND(LEN(TRIM($B51&amp;""))&gt;0,LEN(TRIM($P51&amp;""))=0),"PASS","FAIL — "&amp;IF(LEN(TRIM($P51&amp;""))&gt;0,TRIM($P51&amp;""),"line ≠ qty×unit, a required cell empty, or qty/£ non-positive"))</f>
        <v>PASS</v>
      </c>
      <c r="P51" s="70"/>
      <c r="Q51" s="16" t="str">
        <f aca="false">IF(AND(LEN(TRIM(B51&amp;""))&gt;0,TRIM(B51&amp;"")&lt;&gt;"—",LEN(TRIM(C51&amp;""))&gt;0,TRIM(C51&amp;"")&lt;&gt;"—",ISNUMBER(C51),LEN(TRIM(F51&amp;""))&gt;0,TRIM(F51&amp;"")&lt;&gt;"—",LEN(TRIM(I51&amp;""))&gt;0,TRIM(I51&amp;"")&lt;&gt;"—",LEN(TRIM(J51&amp;""))&gt;0,TRIM(J51&amp;"")&lt;&gt;"—",LEN(TRIM(O51&amp;""))&gt;0,TRIM(O51&amp;"")&lt;&gt;"—"),"PASS","⚠ FAIL — "&amp;"a required cell is empty/placeholder or wrong type")</f>
        <v>PASS</v>
      </c>
    </row>
    <row r="52" customFormat="false" ht="15" hidden="true" customHeight="false" outlineLevel="1" collapsed="false">
      <c r="A52" s="11" t="s">
        <v>542</v>
      </c>
      <c r="B52" s="68" t="s">
        <v>543</v>
      </c>
      <c r="C52" s="28" t="n">
        <v>1</v>
      </c>
      <c r="D52" s="11" t="s">
        <v>479</v>
      </c>
      <c r="E52" s="11" t="s">
        <v>480</v>
      </c>
      <c r="F52" s="11" t="s">
        <v>436</v>
      </c>
      <c r="G52" s="15" t="s">
        <v>481</v>
      </c>
      <c r="H52" s="15"/>
      <c r="I52" s="11" t="n">
        <v>5</v>
      </c>
      <c r="J52" s="11" t="s">
        <v>432</v>
      </c>
      <c r="O52" s="69" t="str">
        <f aca="false">IF(AND(LEN(TRIM($B52&amp;""))&gt;0,LEN(TRIM($P52&amp;""))=0),"PASS","FAIL — "&amp;IF(LEN(TRIM($P52&amp;""))&gt;0,TRIM($P52&amp;""),"line ≠ qty×unit, a required cell empty, or qty/£ non-positive"))</f>
        <v>PASS</v>
      </c>
      <c r="P52" s="70"/>
      <c r="Q52" s="16" t="str">
        <f aca="false">IF(AND(LEN(TRIM(B52&amp;""))&gt;0,TRIM(B52&amp;"")&lt;&gt;"—",LEN(TRIM(C52&amp;""))&gt;0,TRIM(C52&amp;"")&lt;&gt;"—",ISNUMBER(C52),LEN(TRIM(F52&amp;""))&gt;0,TRIM(F52&amp;"")&lt;&gt;"—",LEN(TRIM(I52&amp;""))&gt;0,TRIM(I52&amp;"")&lt;&gt;"—",LEN(TRIM(J52&amp;""))&gt;0,TRIM(J52&amp;"")&lt;&gt;"—",LEN(TRIM(O52&amp;""))&gt;0,TRIM(O52&amp;"")&lt;&gt;"—"),"PASS","⚠ FAIL — "&amp;"a required cell is empty/placeholder or wrong type")</f>
        <v>PASS</v>
      </c>
    </row>
    <row r="53" customFormat="false" ht="15" hidden="true" customHeight="false" outlineLevel="1" collapsed="false">
      <c r="A53" s="11" t="s">
        <v>544</v>
      </c>
      <c r="B53" s="68" t="s">
        <v>545</v>
      </c>
      <c r="C53" s="28" t="n">
        <v>1</v>
      </c>
      <c r="D53" s="11" t="s">
        <v>479</v>
      </c>
      <c r="E53" s="11" t="s">
        <v>480</v>
      </c>
      <c r="F53" s="11" t="s">
        <v>436</v>
      </c>
      <c r="G53" s="15" t="s">
        <v>481</v>
      </c>
      <c r="H53" s="15"/>
      <c r="I53" s="11" t="n">
        <v>5</v>
      </c>
      <c r="J53" s="11" t="s">
        <v>432</v>
      </c>
      <c r="O53" s="69" t="str">
        <f aca="false">IF(AND(LEN(TRIM($B53&amp;""))&gt;0,LEN(TRIM($P53&amp;""))=0),"PASS","FAIL — "&amp;IF(LEN(TRIM($P53&amp;""))&gt;0,TRIM($P53&amp;""),"line ≠ qty×unit, a required cell empty, or qty/£ non-positive"))</f>
        <v>PASS</v>
      </c>
      <c r="P53" s="70"/>
      <c r="Q53" s="16" t="str">
        <f aca="false">IF(AND(LEN(TRIM(B53&amp;""))&gt;0,TRIM(B53&amp;"")&lt;&gt;"—",LEN(TRIM(C53&amp;""))&gt;0,TRIM(C53&amp;"")&lt;&gt;"—",ISNUMBER(C53),LEN(TRIM(F53&amp;""))&gt;0,TRIM(F53&amp;"")&lt;&gt;"—",LEN(TRIM(I53&amp;""))&gt;0,TRIM(I53&amp;"")&lt;&gt;"—",LEN(TRIM(J53&amp;""))&gt;0,TRIM(J53&amp;"")&lt;&gt;"—",LEN(TRIM(O53&amp;""))&gt;0,TRIM(O53&amp;"")&lt;&gt;"—"),"PASS","⚠ FAIL — "&amp;"a required cell is empty/placeholder or wrong type")</f>
        <v>PASS</v>
      </c>
    </row>
    <row r="54" customFormat="false" ht="15" hidden="true" customHeight="false" outlineLevel="1" collapsed="false">
      <c r="A54" s="11" t="s">
        <v>546</v>
      </c>
      <c r="B54" s="68" t="s">
        <v>547</v>
      </c>
      <c r="C54" s="28" t="n">
        <v>1</v>
      </c>
      <c r="D54" s="11" t="s">
        <v>479</v>
      </c>
      <c r="E54" s="11" t="s">
        <v>480</v>
      </c>
      <c r="F54" s="11" t="s">
        <v>429</v>
      </c>
      <c r="G54" s="15" t="s">
        <v>481</v>
      </c>
      <c r="H54" s="15"/>
      <c r="I54" s="11" t="n">
        <v>4</v>
      </c>
      <c r="J54" s="11" t="s">
        <v>432</v>
      </c>
      <c r="O54" s="69" t="str">
        <f aca="false">IF(AND(LEN(TRIM($B54&amp;""))&gt;0,LEN(TRIM($P54&amp;""))=0),"PASS","FAIL — "&amp;IF(LEN(TRIM($P54&amp;""))&gt;0,TRIM($P54&amp;""),"line ≠ qty×unit, a required cell empty, or qty/£ non-positive"))</f>
        <v>PASS</v>
      </c>
      <c r="P54" s="70"/>
      <c r="Q54" s="16" t="str">
        <f aca="false">IF(AND(LEN(TRIM(B54&amp;""))&gt;0,TRIM(B54&amp;"")&lt;&gt;"—",LEN(TRIM(C54&amp;""))&gt;0,TRIM(C54&amp;"")&lt;&gt;"—",ISNUMBER(C54),LEN(TRIM(F54&amp;""))&gt;0,TRIM(F54&amp;"")&lt;&gt;"—",LEN(TRIM(I54&amp;""))&gt;0,TRIM(I54&amp;"")&lt;&gt;"—",LEN(TRIM(J54&amp;""))&gt;0,TRIM(J54&amp;"")&lt;&gt;"—",LEN(TRIM(O54&amp;""))&gt;0,TRIM(O54&amp;"")&lt;&gt;"—"),"PASS","⚠ FAIL — "&amp;"a required cell is empty/placeholder or wrong type")</f>
        <v>PASS</v>
      </c>
    </row>
    <row r="55" customFormat="false" ht="15" hidden="true" customHeight="false" outlineLevel="1" collapsed="false">
      <c r="A55" s="11" t="s">
        <v>548</v>
      </c>
      <c r="B55" s="68" t="s">
        <v>549</v>
      </c>
      <c r="C55" s="28" t="n">
        <v>1</v>
      </c>
      <c r="D55" s="11" t="s">
        <v>479</v>
      </c>
      <c r="E55" s="11" t="s">
        <v>480</v>
      </c>
      <c r="F55" s="11" t="s">
        <v>436</v>
      </c>
      <c r="G55" s="15" t="s">
        <v>481</v>
      </c>
      <c r="H55" s="15"/>
      <c r="I55" s="11" t="n">
        <v>5</v>
      </c>
      <c r="J55" s="11" t="s">
        <v>432</v>
      </c>
      <c r="O55" s="69" t="str">
        <f aca="false">IF(AND(LEN(TRIM($B55&amp;""))&gt;0,LEN(TRIM($P55&amp;""))=0),"PASS","FAIL — "&amp;IF(LEN(TRIM($P55&amp;""))&gt;0,TRIM($P55&amp;""),"line ≠ qty×unit, a required cell empty, or qty/£ non-positive"))</f>
        <v>PASS</v>
      </c>
      <c r="P55" s="70"/>
      <c r="Q55" s="16" t="str">
        <f aca="false">IF(AND(LEN(TRIM(B55&amp;""))&gt;0,TRIM(B55&amp;"")&lt;&gt;"—",LEN(TRIM(C55&amp;""))&gt;0,TRIM(C55&amp;"")&lt;&gt;"—",ISNUMBER(C55),LEN(TRIM(F55&amp;""))&gt;0,TRIM(F55&amp;"")&lt;&gt;"—",LEN(TRIM(I55&amp;""))&gt;0,TRIM(I55&amp;"")&lt;&gt;"—",LEN(TRIM(J55&amp;""))&gt;0,TRIM(J55&amp;"")&lt;&gt;"—",LEN(TRIM(O55&amp;""))&gt;0,TRIM(O55&amp;"")&lt;&gt;"—"),"PASS","⚠ FAIL — "&amp;"a required cell is empty/placeholder or wrong type")</f>
        <v>PASS</v>
      </c>
    </row>
    <row r="56" customFormat="false" ht="15" hidden="true" customHeight="false" outlineLevel="1" collapsed="false">
      <c r="A56" s="11" t="s">
        <v>550</v>
      </c>
      <c r="B56" s="68" t="s">
        <v>551</v>
      </c>
      <c r="C56" s="28" t="n">
        <v>1</v>
      </c>
      <c r="D56" s="11" t="s">
        <v>479</v>
      </c>
      <c r="E56" s="11" t="s">
        <v>480</v>
      </c>
      <c r="F56" s="11" t="s">
        <v>436</v>
      </c>
      <c r="G56" s="15" t="s">
        <v>481</v>
      </c>
      <c r="H56" s="15"/>
      <c r="I56" s="11" t="n">
        <v>5</v>
      </c>
      <c r="J56" s="11" t="s">
        <v>432</v>
      </c>
      <c r="O56" s="69" t="str">
        <f aca="false">IF(AND(LEN(TRIM($B56&amp;""))&gt;0,LEN(TRIM($P56&amp;""))=0),"PASS","FAIL — "&amp;IF(LEN(TRIM($P56&amp;""))&gt;0,TRIM($P56&amp;""),"line ≠ qty×unit, a required cell empty, or qty/£ non-positive"))</f>
        <v>PASS</v>
      </c>
      <c r="P56" s="70"/>
      <c r="Q56" s="16" t="str">
        <f aca="false">IF(AND(LEN(TRIM(B56&amp;""))&gt;0,TRIM(B56&amp;"")&lt;&gt;"—",LEN(TRIM(C56&amp;""))&gt;0,TRIM(C56&amp;"")&lt;&gt;"—",ISNUMBER(C56),LEN(TRIM(F56&amp;""))&gt;0,TRIM(F56&amp;"")&lt;&gt;"—",LEN(TRIM(I56&amp;""))&gt;0,TRIM(I56&amp;"")&lt;&gt;"—",LEN(TRIM(J56&amp;""))&gt;0,TRIM(J56&amp;"")&lt;&gt;"—",LEN(TRIM(O56&amp;""))&gt;0,TRIM(O56&amp;"")&lt;&gt;"—"),"PASS","⚠ FAIL — "&amp;"a required cell is empty/placeholder or wrong type")</f>
        <v>PASS</v>
      </c>
    </row>
    <row r="57" customFormat="false" ht="15" hidden="true" customHeight="false" outlineLevel="1" collapsed="false">
      <c r="A57" s="11" t="s">
        <v>552</v>
      </c>
      <c r="B57" s="68" t="s">
        <v>553</v>
      </c>
      <c r="C57" s="28" t="n">
        <v>1</v>
      </c>
      <c r="D57" s="11" t="s">
        <v>479</v>
      </c>
      <c r="E57" s="11" t="s">
        <v>480</v>
      </c>
      <c r="F57" s="11" t="s">
        <v>436</v>
      </c>
      <c r="G57" s="15" t="s">
        <v>481</v>
      </c>
      <c r="H57" s="15"/>
      <c r="I57" s="11" t="n">
        <v>5</v>
      </c>
      <c r="J57" s="11" t="s">
        <v>432</v>
      </c>
      <c r="O57" s="69" t="str">
        <f aca="false">IF(AND(LEN(TRIM($B57&amp;""))&gt;0,LEN(TRIM($P57&amp;""))=0),"PASS","FAIL — "&amp;IF(LEN(TRIM($P57&amp;""))&gt;0,TRIM($P57&amp;""),"line ≠ qty×unit, a required cell empty, or qty/£ non-positive"))</f>
        <v>PASS</v>
      </c>
      <c r="P57" s="70"/>
      <c r="Q57" s="16" t="str">
        <f aca="false">IF(AND(LEN(TRIM(B57&amp;""))&gt;0,TRIM(B57&amp;"")&lt;&gt;"—",LEN(TRIM(C57&amp;""))&gt;0,TRIM(C57&amp;"")&lt;&gt;"—",ISNUMBER(C57),LEN(TRIM(F57&amp;""))&gt;0,TRIM(F57&amp;"")&lt;&gt;"—",LEN(TRIM(I57&amp;""))&gt;0,TRIM(I57&amp;"")&lt;&gt;"—",LEN(TRIM(J57&amp;""))&gt;0,TRIM(J57&amp;"")&lt;&gt;"—",LEN(TRIM(O57&amp;""))&gt;0,TRIM(O57&amp;"")&lt;&gt;"—"),"PASS","⚠ FAIL — "&amp;"a required cell is empty/placeholder or wrong type")</f>
        <v>PASS</v>
      </c>
    </row>
    <row r="58" customFormat="false" ht="15" hidden="true" customHeight="false" outlineLevel="1" collapsed="false">
      <c r="A58" s="11" t="s">
        <v>554</v>
      </c>
      <c r="B58" s="68" t="s">
        <v>555</v>
      </c>
      <c r="C58" s="28" t="n">
        <v>1</v>
      </c>
      <c r="D58" s="11" t="s">
        <v>479</v>
      </c>
      <c r="E58" s="11" t="s">
        <v>480</v>
      </c>
      <c r="F58" s="11" t="s">
        <v>436</v>
      </c>
      <c r="G58" s="15" t="s">
        <v>481</v>
      </c>
      <c r="H58" s="15"/>
      <c r="I58" s="11" t="n">
        <v>5</v>
      </c>
      <c r="J58" s="11" t="s">
        <v>432</v>
      </c>
      <c r="O58" s="69" t="str">
        <f aca="false">IF(AND(LEN(TRIM($B58&amp;""))&gt;0,LEN(TRIM($P58&amp;""))=0),"PASS","FAIL — "&amp;IF(LEN(TRIM($P58&amp;""))&gt;0,TRIM($P58&amp;""),"line ≠ qty×unit, a required cell empty, or qty/£ non-positive"))</f>
        <v>PASS</v>
      </c>
      <c r="P58" s="70"/>
      <c r="Q58" s="16" t="str">
        <f aca="false">IF(AND(LEN(TRIM(B58&amp;""))&gt;0,TRIM(B58&amp;"")&lt;&gt;"—",LEN(TRIM(C58&amp;""))&gt;0,TRIM(C58&amp;"")&lt;&gt;"—",ISNUMBER(C58),LEN(TRIM(F58&amp;""))&gt;0,TRIM(F58&amp;"")&lt;&gt;"—",LEN(TRIM(I58&amp;""))&gt;0,TRIM(I58&amp;"")&lt;&gt;"—",LEN(TRIM(J58&amp;""))&gt;0,TRIM(J58&amp;"")&lt;&gt;"—",LEN(TRIM(O58&amp;""))&gt;0,TRIM(O58&amp;"")&lt;&gt;"—"),"PASS","⚠ FAIL — "&amp;"a required cell is empty/placeholder or wrong type")</f>
        <v>PASS</v>
      </c>
    </row>
    <row r="59" customFormat="false" ht="15" hidden="true" customHeight="false" outlineLevel="1" collapsed="false">
      <c r="A59" s="11" t="s">
        <v>556</v>
      </c>
      <c r="B59" s="68" t="s">
        <v>557</v>
      </c>
      <c r="C59" s="28" t="n">
        <v>1</v>
      </c>
      <c r="D59" s="11" t="s">
        <v>479</v>
      </c>
      <c r="E59" s="11" t="s">
        <v>480</v>
      </c>
      <c r="F59" s="11" t="s">
        <v>429</v>
      </c>
      <c r="G59" s="15" t="s">
        <v>481</v>
      </c>
      <c r="H59" s="15"/>
      <c r="I59" s="11" t="n">
        <v>4</v>
      </c>
      <c r="J59" s="11" t="s">
        <v>432</v>
      </c>
      <c r="O59" s="69" t="str">
        <f aca="false">IF(AND(LEN(TRIM($B59&amp;""))&gt;0,LEN(TRIM($P59&amp;""))=0),"PASS","FAIL — "&amp;IF(LEN(TRIM($P59&amp;""))&gt;0,TRIM($P59&amp;""),"line ≠ qty×unit, a required cell empty, or qty/£ non-positive"))</f>
        <v>PASS</v>
      </c>
      <c r="P59" s="70"/>
      <c r="Q59" s="16" t="str">
        <f aca="false">IF(AND(LEN(TRIM(B59&amp;""))&gt;0,TRIM(B59&amp;"")&lt;&gt;"—",LEN(TRIM(C59&amp;""))&gt;0,TRIM(C59&amp;"")&lt;&gt;"—",ISNUMBER(C59),LEN(TRIM(F59&amp;""))&gt;0,TRIM(F59&amp;"")&lt;&gt;"—",LEN(TRIM(I59&amp;""))&gt;0,TRIM(I59&amp;"")&lt;&gt;"—",LEN(TRIM(J59&amp;""))&gt;0,TRIM(J59&amp;"")&lt;&gt;"—",LEN(TRIM(O59&amp;""))&gt;0,TRIM(O59&amp;"")&lt;&gt;"—"),"PASS","⚠ FAIL — "&amp;"a required cell is empty/placeholder or wrong type")</f>
        <v>PASS</v>
      </c>
    </row>
    <row r="60" customFormat="false" ht="15" hidden="true" customHeight="false" outlineLevel="1" collapsed="false">
      <c r="A60" s="11" t="s">
        <v>558</v>
      </c>
      <c r="B60" s="68" t="s">
        <v>559</v>
      </c>
      <c r="C60" s="28" t="n">
        <v>1</v>
      </c>
      <c r="D60" s="11" t="s">
        <v>479</v>
      </c>
      <c r="E60" s="11" t="s">
        <v>480</v>
      </c>
      <c r="F60" s="11" t="s">
        <v>436</v>
      </c>
      <c r="G60" s="15" t="s">
        <v>481</v>
      </c>
      <c r="H60" s="15"/>
      <c r="I60" s="11" t="n">
        <v>5</v>
      </c>
      <c r="J60" s="11" t="s">
        <v>432</v>
      </c>
      <c r="O60" s="69" t="str">
        <f aca="false">IF(AND(LEN(TRIM($B60&amp;""))&gt;0,LEN(TRIM($P60&amp;""))=0),"PASS","FAIL — "&amp;IF(LEN(TRIM($P60&amp;""))&gt;0,TRIM($P60&amp;""),"line ≠ qty×unit, a required cell empty, or qty/£ non-positive"))</f>
        <v>PASS</v>
      </c>
      <c r="P60" s="70"/>
      <c r="Q60" s="16" t="str">
        <f aca="false">IF(AND(LEN(TRIM(B60&amp;""))&gt;0,TRIM(B60&amp;"")&lt;&gt;"—",LEN(TRIM(C60&amp;""))&gt;0,TRIM(C60&amp;"")&lt;&gt;"—",ISNUMBER(C60),LEN(TRIM(F60&amp;""))&gt;0,TRIM(F60&amp;"")&lt;&gt;"—",LEN(TRIM(I60&amp;""))&gt;0,TRIM(I60&amp;"")&lt;&gt;"—",LEN(TRIM(J60&amp;""))&gt;0,TRIM(J60&amp;"")&lt;&gt;"—",LEN(TRIM(O60&amp;""))&gt;0,TRIM(O60&amp;"")&lt;&gt;"—"),"PASS","⚠ FAIL — "&amp;"a required cell is empty/placeholder or wrong type")</f>
        <v>PASS</v>
      </c>
    </row>
    <row r="61" customFormat="false" ht="15" hidden="true" customHeight="false" outlineLevel="1" collapsed="false">
      <c r="A61" s="11" t="s">
        <v>560</v>
      </c>
      <c r="B61" s="68" t="s">
        <v>561</v>
      </c>
      <c r="C61" s="28" t="n">
        <v>1</v>
      </c>
      <c r="D61" s="11" t="s">
        <v>479</v>
      </c>
      <c r="E61" s="11" t="s">
        <v>480</v>
      </c>
      <c r="F61" s="11" t="s">
        <v>429</v>
      </c>
      <c r="G61" s="15" t="s">
        <v>481</v>
      </c>
      <c r="H61" s="15"/>
      <c r="I61" s="11" t="n">
        <v>4</v>
      </c>
      <c r="J61" s="11" t="s">
        <v>432</v>
      </c>
      <c r="O61" s="69" t="str">
        <f aca="false">IF(AND(LEN(TRIM($B61&amp;""))&gt;0,LEN(TRIM($P61&amp;""))=0),"PASS","FAIL — "&amp;IF(LEN(TRIM($P61&amp;""))&gt;0,TRIM($P61&amp;""),"line ≠ qty×unit, a required cell empty, or qty/£ non-positive"))</f>
        <v>PASS</v>
      </c>
      <c r="P61" s="70"/>
      <c r="Q61" s="16" t="str">
        <f aca="false">IF(AND(LEN(TRIM(B61&amp;""))&gt;0,TRIM(B61&amp;"")&lt;&gt;"—",LEN(TRIM(C61&amp;""))&gt;0,TRIM(C61&amp;"")&lt;&gt;"—",ISNUMBER(C61),LEN(TRIM(F61&amp;""))&gt;0,TRIM(F61&amp;"")&lt;&gt;"—",LEN(TRIM(I61&amp;""))&gt;0,TRIM(I61&amp;"")&lt;&gt;"—",LEN(TRIM(J61&amp;""))&gt;0,TRIM(J61&amp;"")&lt;&gt;"—",LEN(TRIM(O61&amp;""))&gt;0,TRIM(O61&amp;"")&lt;&gt;"—"),"PASS","⚠ FAIL — "&amp;"a required cell is empty/placeholder or wrong type")</f>
        <v>PASS</v>
      </c>
    </row>
    <row r="62" customFormat="false" ht="15" hidden="true" customHeight="false" outlineLevel="1" collapsed="false">
      <c r="A62" s="11" t="s">
        <v>562</v>
      </c>
      <c r="B62" s="68" t="s">
        <v>563</v>
      </c>
      <c r="C62" s="28" t="n">
        <v>1</v>
      </c>
      <c r="D62" s="11" t="s">
        <v>479</v>
      </c>
      <c r="E62" s="11" t="s">
        <v>480</v>
      </c>
      <c r="F62" s="11" t="s">
        <v>436</v>
      </c>
      <c r="G62" s="15" t="s">
        <v>481</v>
      </c>
      <c r="H62" s="15"/>
      <c r="I62" s="11" t="n">
        <v>5</v>
      </c>
      <c r="J62" s="11" t="s">
        <v>432</v>
      </c>
      <c r="O62" s="69" t="str">
        <f aca="false">IF(AND(LEN(TRIM($B62&amp;""))&gt;0,LEN(TRIM($P62&amp;""))=0),"PASS","FAIL — "&amp;IF(LEN(TRIM($P62&amp;""))&gt;0,TRIM($P62&amp;""),"line ≠ qty×unit, a required cell empty, or qty/£ non-positive"))</f>
        <v>PASS</v>
      </c>
      <c r="P62" s="70"/>
      <c r="Q62" s="16" t="str">
        <f aca="false">IF(AND(LEN(TRIM(B62&amp;""))&gt;0,TRIM(B62&amp;"")&lt;&gt;"—",LEN(TRIM(C62&amp;""))&gt;0,TRIM(C62&amp;"")&lt;&gt;"—",ISNUMBER(C62),LEN(TRIM(F62&amp;""))&gt;0,TRIM(F62&amp;"")&lt;&gt;"—",LEN(TRIM(I62&amp;""))&gt;0,TRIM(I62&amp;"")&lt;&gt;"—",LEN(TRIM(J62&amp;""))&gt;0,TRIM(J62&amp;"")&lt;&gt;"—",LEN(TRIM(O62&amp;""))&gt;0,TRIM(O62&amp;"")&lt;&gt;"—"),"PASS","⚠ FAIL — "&amp;"a required cell is empty/placeholder or wrong type")</f>
        <v>PASS</v>
      </c>
    </row>
    <row r="63" customFormat="false" ht="15" hidden="true" customHeight="false" outlineLevel="1" collapsed="false">
      <c r="A63" s="11" t="s">
        <v>564</v>
      </c>
      <c r="B63" s="68" t="s">
        <v>565</v>
      </c>
      <c r="C63" s="28" t="n">
        <v>1</v>
      </c>
      <c r="D63" s="11" t="s">
        <v>479</v>
      </c>
      <c r="E63" s="11" t="s">
        <v>480</v>
      </c>
      <c r="F63" s="11" t="s">
        <v>436</v>
      </c>
      <c r="G63" s="15" t="s">
        <v>481</v>
      </c>
      <c r="H63" s="15"/>
      <c r="I63" s="11" t="n">
        <v>5</v>
      </c>
      <c r="J63" s="11" t="s">
        <v>432</v>
      </c>
      <c r="O63" s="69" t="str">
        <f aca="false">IF(AND(LEN(TRIM($B63&amp;""))&gt;0,LEN(TRIM($P63&amp;""))=0),"PASS","FAIL — "&amp;IF(LEN(TRIM($P63&amp;""))&gt;0,TRIM($P63&amp;""),"line ≠ qty×unit, a required cell empty, or qty/£ non-positive"))</f>
        <v>PASS</v>
      </c>
      <c r="P63" s="70"/>
      <c r="Q63" s="16" t="str">
        <f aca="false">IF(AND(LEN(TRIM(B63&amp;""))&gt;0,TRIM(B63&amp;"")&lt;&gt;"—",LEN(TRIM(C63&amp;""))&gt;0,TRIM(C63&amp;"")&lt;&gt;"—",ISNUMBER(C63),LEN(TRIM(F63&amp;""))&gt;0,TRIM(F63&amp;"")&lt;&gt;"—",LEN(TRIM(I63&amp;""))&gt;0,TRIM(I63&amp;"")&lt;&gt;"—",LEN(TRIM(J63&amp;""))&gt;0,TRIM(J63&amp;"")&lt;&gt;"—",LEN(TRIM(O63&amp;""))&gt;0,TRIM(O63&amp;"")&lt;&gt;"—"),"PASS","⚠ FAIL — "&amp;"a required cell is empty/placeholder or wrong type")</f>
        <v>PASS</v>
      </c>
    </row>
    <row r="64" customFormat="false" ht="15" hidden="true" customHeight="false" outlineLevel="1" collapsed="false">
      <c r="A64" s="11" t="s">
        <v>566</v>
      </c>
      <c r="B64" s="68" t="s">
        <v>567</v>
      </c>
      <c r="C64" s="28" t="n">
        <v>1</v>
      </c>
      <c r="D64" s="11" t="s">
        <v>479</v>
      </c>
      <c r="E64" s="11" t="s">
        <v>480</v>
      </c>
      <c r="F64" s="11" t="s">
        <v>436</v>
      </c>
      <c r="G64" s="15" t="s">
        <v>481</v>
      </c>
      <c r="H64" s="15"/>
      <c r="I64" s="11" t="n">
        <v>5</v>
      </c>
      <c r="J64" s="11" t="s">
        <v>432</v>
      </c>
      <c r="O64" s="69" t="str">
        <f aca="false">IF(AND(LEN(TRIM($B64&amp;""))&gt;0,LEN(TRIM($P64&amp;""))=0),"PASS","FAIL — "&amp;IF(LEN(TRIM($P64&amp;""))&gt;0,TRIM($P64&amp;""),"line ≠ qty×unit, a required cell empty, or qty/£ non-positive"))</f>
        <v>PASS</v>
      </c>
      <c r="P64" s="70"/>
      <c r="Q64" s="16" t="str">
        <f aca="false">IF(AND(LEN(TRIM(B64&amp;""))&gt;0,TRIM(B64&amp;"")&lt;&gt;"—",LEN(TRIM(C64&amp;""))&gt;0,TRIM(C64&amp;"")&lt;&gt;"—",ISNUMBER(C64),LEN(TRIM(F64&amp;""))&gt;0,TRIM(F64&amp;"")&lt;&gt;"—",LEN(TRIM(I64&amp;""))&gt;0,TRIM(I64&amp;"")&lt;&gt;"—",LEN(TRIM(J64&amp;""))&gt;0,TRIM(J64&amp;"")&lt;&gt;"—",LEN(TRIM(O64&amp;""))&gt;0,TRIM(O64&amp;"")&lt;&gt;"—"),"PASS","⚠ FAIL — "&amp;"a required cell is empty/placeholder or wrong type")</f>
        <v>PASS</v>
      </c>
    </row>
    <row r="65" customFormat="false" ht="15" hidden="true" customHeight="false" outlineLevel="1" collapsed="false">
      <c r="A65" s="11" t="s">
        <v>568</v>
      </c>
      <c r="B65" s="68" t="s">
        <v>499</v>
      </c>
      <c r="C65" s="28" t="n">
        <v>1</v>
      </c>
      <c r="D65" s="11" t="s">
        <v>479</v>
      </c>
      <c r="E65" s="11" t="s">
        <v>480</v>
      </c>
      <c r="F65" s="11" t="s">
        <v>436</v>
      </c>
      <c r="G65" s="15" t="s">
        <v>481</v>
      </c>
      <c r="H65" s="15"/>
      <c r="I65" s="11" t="n">
        <v>5</v>
      </c>
      <c r="J65" s="11" t="s">
        <v>432</v>
      </c>
      <c r="O65" s="69" t="str">
        <f aca="false">IF(AND(LEN(TRIM($B65&amp;""))&gt;0,LEN(TRIM($P65&amp;""))=0),"PASS","FAIL — "&amp;IF(LEN(TRIM($P65&amp;""))&gt;0,TRIM($P65&amp;""),"line ≠ qty×unit, a required cell empty, or qty/£ non-positive"))</f>
        <v>PASS</v>
      </c>
      <c r="P65" s="70"/>
      <c r="Q65" s="16" t="str">
        <f aca="false">IF(AND(LEN(TRIM(B65&amp;""))&gt;0,TRIM(B65&amp;"")&lt;&gt;"—",LEN(TRIM(C65&amp;""))&gt;0,TRIM(C65&amp;"")&lt;&gt;"—",ISNUMBER(C65),LEN(TRIM(F65&amp;""))&gt;0,TRIM(F65&amp;"")&lt;&gt;"—",LEN(TRIM(I65&amp;""))&gt;0,TRIM(I65&amp;"")&lt;&gt;"—",LEN(TRIM(J65&amp;""))&gt;0,TRIM(J65&amp;"")&lt;&gt;"—",LEN(TRIM(O65&amp;""))&gt;0,TRIM(O65&amp;"")&lt;&gt;"—"),"PASS","⚠ FAIL — "&amp;"a required cell is empty/placeholder or wrong type")</f>
        <v>PASS</v>
      </c>
    </row>
    <row r="66" customFormat="false" ht="23.85" hidden="false" customHeight="false" outlineLevel="0" collapsed="true">
      <c r="A66" s="11" t="str">
        <f aca="false">'Part names'!$A$32</f>
        <v>P-106</v>
      </c>
      <c r="B66" s="68" t="str">
        <f aca="false">'Part names'!$B$32 &amp; "  · 8 kW · 600x510x660 mm"</f>
        <v>Fertigation Dosing Pump  · 8 kW · 600x510x660 mm</v>
      </c>
      <c r="C66" s="28" t="n">
        <v>2</v>
      </c>
      <c r="D66" s="36" t="n">
        <v>8634</v>
      </c>
      <c r="E66" s="36" t="n">
        <v>17268</v>
      </c>
      <c r="F66" s="11" t="s">
        <v>429</v>
      </c>
      <c r="G66" s="15" t="s">
        <v>469</v>
      </c>
      <c r="H66" s="15" t="s">
        <v>421</v>
      </c>
      <c r="I66" s="11" t="n">
        <v>4</v>
      </c>
      <c r="J66" s="11" t="s">
        <v>432</v>
      </c>
      <c r="K66" s="15" t="s">
        <v>569</v>
      </c>
      <c r="L66" s="68" t="s">
        <v>512</v>
      </c>
      <c r="M66" s="15" t="s">
        <v>570</v>
      </c>
      <c r="N66" s="68" t="s">
        <v>571</v>
      </c>
      <c r="O66" s="69" t="str">
        <f aca="false">IF(AND(LEN(TRIM($B66&amp;""))&gt;0,ISNUMBER($C66),$C66&gt;0,ISNUMBER($D66),$D66&gt;0,ISNUMBER($E66),$E66&gt;0,ABS($E66-$C66*$D66)&lt;=MAX(1,0.005*ABS($E66)),LEN(TRIM($M66&amp;""))&gt;0,TRIM($M66&amp;"")&lt;&gt;"—",LEN(TRIM($P66&amp;""))=0),"PASS","FAIL — "&amp;IF(LEN(TRIM($P66&amp;""))&gt;0,TRIM($P66&amp;""),"line ≠ qty×unit, a required cell empty, or qty/£ non-positive"))</f>
        <v>PASS</v>
      </c>
      <c r="P66" s="70"/>
      <c r="Q66" s="16" t="str">
        <f aca="false">IF(AND(LEN(TRIM(A66&amp;""))&gt;0,TRIM(A66&amp;"")&lt;&gt;"—",LEN(TRIM(B66&amp;""))&gt;0,TRIM(B66&amp;"")&lt;&gt;"—",LEN(TRIM(C66&amp;""))&gt;0,TRIM(C66&amp;"")&lt;&gt;"—",ISNUMBER(C66),LEN(TRIM(D66&amp;""))&gt;0,TRIM(D66&amp;"")&lt;&gt;"—",ISNUMBER(D66),LEN(TRIM(E66&amp;""))&gt;0,TRIM(E66&amp;"")&lt;&gt;"—",ISNUMBER(E66),LEN(TRIM(F66&amp;""))&gt;0,TRIM(F66&amp;"")&lt;&gt;"—",LEN(TRIM(I66&amp;""))&gt;0,TRIM(I66&amp;"")&lt;&gt;"—",LEN(TRIM(J66&amp;""))&gt;0,TRIM(J66&amp;"")&lt;&gt;"—",LEN(TRIM(O66&amp;""))&gt;0,TRIM(O66&amp;"")&lt;&gt;"—"),"PASS","⚠ FAIL — "&amp;"a required cell is empty/placeholder or wrong type")</f>
        <v>PASS</v>
      </c>
    </row>
    <row r="67" customFormat="false" ht="15" hidden="true" customHeight="false" outlineLevel="1" collapsed="false">
      <c r="A67" s="11" t="s">
        <v>572</v>
      </c>
      <c r="B67" s="68" t="s">
        <v>573</v>
      </c>
      <c r="C67" s="28" t="n">
        <v>1</v>
      </c>
      <c r="D67" s="11" t="s">
        <v>479</v>
      </c>
      <c r="E67" s="11" t="s">
        <v>480</v>
      </c>
      <c r="F67" s="11" t="s">
        <v>436</v>
      </c>
      <c r="G67" s="15" t="s">
        <v>481</v>
      </c>
      <c r="H67" s="15"/>
      <c r="I67" s="11" t="n">
        <v>5</v>
      </c>
      <c r="J67" s="11" t="s">
        <v>432</v>
      </c>
      <c r="O67" s="69" t="str">
        <f aca="false">IF(AND(LEN(TRIM($B67&amp;""))&gt;0,LEN(TRIM($P67&amp;""))=0),"PASS","FAIL — "&amp;IF(LEN(TRIM($P67&amp;""))&gt;0,TRIM($P67&amp;""),"line ≠ qty×unit, a required cell empty, or qty/£ non-positive"))</f>
        <v>PASS</v>
      </c>
      <c r="P67" s="70"/>
      <c r="Q67" s="16" t="str">
        <f aca="false">IF(AND(LEN(TRIM(B67&amp;""))&gt;0,TRIM(B67&amp;"")&lt;&gt;"—",LEN(TRIM(C67&amp;""))&gt;0,TRIM(C67&amp;"")&lt;&gt;"—",ISNUMBER(C67),LEN(TRIM(F67&amp;""))&gt;0,TRIM(F67&amp;"")&lt;&gt;"—",LEN(TRIM(I67&amp;""))&gt;0,TRIM(I67&amp;"")&lt;&gt;"—",LEN(TRIM(J67&amp;""))&gt;0,TRIM(J67&amp;"")&lt;&gt;"—",LEN(TRIM(O67&amp;""))&gt;0,TRIM(O67&amp;"")&lt;&gt;"—"),"PASS","⚠ FAIL — "&amp;"a required cell is empty/placeholder or wrong type")</f>
        <v>PASS</v>
      </c>
    </row>
    <row r="68" customFormat="false" ht="15" hidden="true" customHeight="false" outlineLevel="1" collapsed="false">
      <c r="A68" s="11" t="s">
        <v>574</v>
      </c>
      <c r="B68" s="68" t="s">
        <v>575</v>
      </c>
      <c r="C68" s="28" t="n">
        <v>1</v>
      </c>
      <c r="D68" s="11" t="s">
        <v>479</v>
      </c>
      <c r="E68" s="11" t="s">
        <v>480</v>
      </c>
      <c r="F68" s="11" t="s">
        <v>429</v>
      </c>
      <c r="G68" s="15" t="s">
        <v>481</v>
      </c>
      <c r="H68" s="15"/>
      <c r="I68" s="11" t="n">
        <v>4</v>
      </c>
      <c r="J68" s="11" t="s">
        <v>432</v>
      </c>
      <c r="O68" s="69" t="str">
        <f aca="false">IF(AND(LEN(TRIM($B68&amp;""))&gt;0,LEN(TRIM($P68&amp;""))=0),"PASS","FAIL — "&amp;IF(LEN(TRIM($P68&amp;""))&gt;0,TRIM($P68&amp;""),"line ≠ qty×unit, a required cell empty, or qty/£ non-positive"))</f>
        <v>PASS</v>
      </c>
      <c r="P68" s="70"/>
      <c r="Q68" s="16" t="str">
        <f aca="false">IF(AND(LEN(TRIM(B68&amp;""))&gt;0,TRIM(B68&amp;"")&lt;&gt;"—",LEN(TRIM(C68&amp;""))&gt;0,TRIM(C68&amp;"")&lt;&gt;"—",ISNUMBER(C68),LEN(TRIM(F68&amp;""))&gt;0,TRIM(F68&amp;"")&lt;&gt;"—",LEN(TRIM(I68&amp;""))&gt;0,TRIM(I68&amp;"")&lt;&gt;"—",LEN(TRIM(J68&amp;""))&gt;0,TRIM(J68&amp;"")&lt;&gt;"—",LEN(TRIM(O68&amp;""))&gt;0,TRIM(O68&amp;"")&lt;&gt;"—"),"PASS","⚠ FAIL — "&amp;"a required cell is empty/placeholder or wrong type")</f>
        <v>PASS</v>
      </c>
    </row>
    <row r="69" customFormat="false" ht="15" hidden="true" customHeight="false" outlineLevel="1" collapsed="false">
      <c r="A69" s="11" t="s">
        <v>576</v>
      </c>
      <c r="B69" s="68" t="s">
        <v>577</v>
      </c>
      <c r="C69" s="28" t="n">
        <v>1</v>
      </c>
      <c r="D69" s="11" t="s">
        <v>479</v>
      </c>
      <c r="E69" s="11" t="s">
        <v>480</v>
      </c>
      <c r="F69" s="11" t="s">
        <v>429</v>
      </c>
      <c r="G69" s="15" t="s">
        <v>481</v>
      </c>
      <c r="H69" s="15"/>
      <c r="I69" s="11" t="n">
        <v>4</v>
      </c>
      <c r="J69" s="11" t="s">
        <v>432</v>
      </c>
      <c r="O69" s="69" t="str">
        <f aca="false">IF(AND(LEN(TRIM($B69&amp;""))&gt;0,LEN(TRIM($P69&amp;""))=0),"PASS","FAIL — "&amp;IF(LEN(TRIM($P69&amp;""))&gt;0,TRIM($P69&amp;""),"line ≠ qty×unit, a required cell empty, or qty/£ non-positive"))</f>
        <v>PASS</v>
      </c>
      <c r="P69" s="70"/>
      <c r="Q69" s="16" t="str">
        <f aca="false">IF(AND(LEN(TRIM(B69&amp;""))&gt;0,TRIM(B69&amp;"")&lt;&gt;"—",LEN(TRIM(C69&amp;""))&gt;0,TRIM(C69&amp;"")&lt;&gt;"—",ISNUMBER(C69),LEN(TRIM(F69&amp;""))&gt;0,TRIM(F69&amp;"")&lt;&gt;"—",LEN(TRIM(I69&amp;""))&gt;0,TRIM(I69&amp;"")&lt;&gt;"—",LEN(TRIM(J69&amp;""))&gt;0,TRIM(J69&amp;"")&lt;&gt;"—",LEN(TRIM(O69&amp;""))&gt;0,TRIM(O69&amp;"")&lt;&gt;"—"),"PASS","⚠ FAIL — "&amp;"a required cell is empty/placeholder or wrong type")</f>
        <v>PASS</v>
      </c>
    </row>
    <row r="70" customFormat="false" ht="15" hidden="true" customHeight="false" outlineLevel="1" collapsed="false">
      <c r="A70" s="11" t="s">
        <v>578</v>
      </c>
      <c r="B70" s="68" t="s">
        <v>579</v>
      </c>
      <c r="C70" s="28" t="n">
        <v>1</v>
      </c>
      <c r="D70" s="11" t="s">
        <v>479</v>
      </c>
      <c r="E70" s="11" t="s">
        <v>480</v>
      </c>
      <c r="F70" s="11" t="s">
        <v>421</v>
      </c>
      <c r="G70" s="15"/>
      <c r="H70" s="15" t="s">
        <v>580</v>
      </c>
      <c r="I70" s="11" t="n">
        <v>2</v>
      </c>
      <c r="J70" s="11" t="s">
        <v>423</v>
      </c>
      <c r="O70" s="69" t="str">
        <f aca="false">IF(AND(LEN(TRIM($B70&amp;""))&gt;0,LEN(TRIM($P70&amp;""))=0),"PASS","FAIL — "&amp;IF(LEN(TRIM($P70&amp;""))&gt;0,TRIM($P70&amp;""),"line ≠ qty×unit, a required cell empty, or qty/£ non-positive"))</f>
        <v>PASS</v>
      </c>
      <c r="P70" s="70"/>
      <c r="Q70" s="16" t="str">
        <f aca="false">IF(AND(LEN(TRIM(B70&amp;""))&gt;0,TRIM(B70&amp;"")&lt;&gt;"—",LEN(TRIM(C70&amp;""))&gt;0,TRIM(C70&amp;"")&lt;&gt;"—",ISNUMBER(C70),LEN(TRIM(F70&amp;""))&gt;0,TRIM(F70&amp;"")&lt;&gt;"—",LEN(TRIM(I70&amp;""))&gt;0,TRIM(I70&amp;"")&lt;&gt;"—",LEN(TRIM(J70&amp;""))&gt;0,TRIM(J70&amp;"")&lt;&gt;"—",LEN(TRIM(O70&amp;""))&gt;0,TRIM(O70&amp;"")&lt;&gt;"—"),"PASS","⚠ FAIL — "&amp;"a required cell is empty/placeholder or wrong type")</f>
        <v>PASS</v>
      </c>
    </row>
    <row r="71" customFormat="false" ht="15" hidden="true" customHeight="false" outlineLevel="1" collapsed="false">
      <c r="A71" s="11" t="s">
        <v>581</v>
      </c>
      <c r="B71" s="68" t="s">
        <v>582</v>
      </c>
      <c r="C71" s="28" t="n">
        <v>1</v>
      </c>
      <c r="D71" s="11" t="s">
        <v>479</v>
      </c>
      <c r="E71" s="11" t="s">
        <v>480</v>
      </c>
      <c r="F71" s="11" t="s">
        <v>429</v>
      </c>
      <c r="G71" s="15" t="s">
        <v>481</v>
      </c>
      <c r="H71" s="15"/>
      <c r="I71" s="11" t="n">
        <v>4</v>
      </c>
      <c r="J71" s="11" t="s">
        <v>432</v>
      </c>
      <c r="O71" s="69" t="str">
        <f aca="false">IF(AND(LEN(TRIM($B71&amp;""))&gt;0,LEN(TRIM($P71&amp;""))=0),"PASS","FAIL — "&amp;IF(LEN(TRIM($P71&amp;""))&gt;0,TRIM($P71&amp;""),"line ≠ qty×unit, a required cell empty, or qty/£ non-positive"))</f>
        <v>PASS</v>
      </c>
      <c r="P71" s="70"/>
      <c r="Q71" s="16" t="str">
        <f aca="false">IF(AND(LEN(TRIM(B71&amp;""))&gt;0,TRIM(B71&amp;"")&lt;&gt;"—",LEN(TRIM(C71&amp;""))&gt;0,TRIM(C71&amp;"")&lt;&gt;"—",ISNUMBER(C71),LEN(TRIM(F71&amp;""))&gt;0,TRIM(F71&amp;"")&lt;&gt;"—",LEN(TRIM(I71&amp;""))&gt;0,TRIM(I71&amp;"")&lt;&gt;"—",LEN(TRIM(J71&amp;""))&gt;0,TRIM(J71&amp;"")&lt;&gt;"—",LEN(TRIM(O71&amp;""))&gt;0,TRIM(O71&amp;"")&lt;&gt;"—"),"PASS","⚠ FAIL — "&amp;"a required cell is empty/placeholder or wrong type")</f>
        <v>PASS</v>
      </c>
    </row>
    <row r="72" customFormat="false" ht="15" hidden="true" customHeight="false" outlineLevel="1" collapsed="false">
      <c r="A72" s="11" t="s">
        <v>583</v>
      </c>
      <c r="B72" s="68" t="s">
        <v>584</v>
      </c>
      <c r="C72" s="28" t="n">
        <v>1</v>
      </c>
      <c r="D72" s="11" t="s">
        <v>479</v>
      </c>
      <c r="E72" s="11" t="s">
        <v>480</v>
      </c>
      <c r="F72" s="11" t="s">
        <v>429</v>
      </c>
      <c r="G72" s="15" t="s">
        <v>481</v>
      </c>
      <c r="H72" s="15"/>
      <c r="I72" s="11" t="n">
        <v>4</v>
      </c>
      <c r="J72" s="11" t="s">
        <v>432</v>
      </c>
      <c r="O72" s="69" t="str">
        <f aca="false">IF(AND(LEN(TRIM($B72&amp;""))&gt;0,LEN(TRIM($P72&amp;""))=0),"PASS","FAIL — "&amp;IF(LEN(TRIM($P72&amp;""))&gt;0,TRIM($P72&amp;""),"line ≠ qty×unit, a required cell empty, or qty/£ non-positive"))</f>
        <v>PASS</v>
      </c>
      <c r="P72" s="70"/>
      <c r="Q72" s="16" t="str">
        <f aca="false">IF(AND(LEN(TRIM(B72&amp;""))&gt;0,TRIM(B72&amp;"")&lt;&gt;"—",LEN(TRIM(C72&amp;""))&gt;0,TRIM(C72&amp;"")&lt;&gt;"—",ISNUMBER(C72),LEN(TRIM(F72&amp;""))&gt;0,TRIM(F72&amp;"")&lt;&gt;"—",LEN(TRIM(I72&amp;""))&gt;0,TRIM(I72&amp;"")&lt;&gt;"—",LEN(TRIM(J72&amp;""))&gt;0,TRIM(J72&amp;"")&lt;&gt;"—",LEN(TRIM(O72&amp;""))&gt;0,TRIM(O72&amp;"")&lt;&gt;"—"),"PASS","⚠ FAIL — "&amp;"a required cell is empty/placeholder or wrong type")</f>
        <v>PASS</v>
      </c>
    </row>
    <row r="73" customFormat="false" ht="15" hidden="true" customHeight="false" outlineLevel="1" collapsed="false">
      <c r="A73" s="11" t="s">
        <v>585</v>
      </c>
      <c r="B73" s="68" t="s">
        <v>586</v>
      </c>
      <c r="C73" s="28" t="n">
        <v>1</v>
      </c>
      <c r="D73" s="11" t="s">
        <v>479</v>
      </c>
      <c r="E73" s="11" t="s">
        <v>480</v>
      </c>
      <c r="F73" s="11" t="s">
        <v>436</v>
      </c>
      <c r="G73" s="15" t="s">
        <v>481</v>
      </c>
      <c r="H73" s="15"/>
      <c r="I73" s="11" t="n">
        <v>5</v>
      </c>
      <c r="J73" s="11" t="s">
        <v>432</v>
      </c>
      <c r="O73" s="69" t="str">
        <f aca="false">IF(AND(LEN(TRIM($B73&amp;""))&gt;0,LEN(TRIM($P73&amp;""))=0),"PASS","FAIL — "&amp;IF(LEN(TRIM($P73&amp;""))&gt;0,TRIM($P73&amp;""),"line ≠ qty×unit, a required cell empty, or qty/£ non-positive"))</f>
        <v>PASS</v>
      </c>
      <c r="P73" s="70"/>
      <c r="Q73" s="16" t="str">
        <f aca="false">IF(AND(LEN(TRIM(B73&amp;""))&gt;0,TRIM(B73&amp;"")&lt;&gt;"—",LEN(TRIM(C73&amp;""))&gt;0,TRIM(C73&amp;"")&lt;&gt;"—",ISNUMBER(C73),LEN(TRIM(F73&amp;""))&gt;0,TRIM(F73&amp;"")&lt;&gt;"—",LEN(TRIM(I73&amp;""))&gt;0,TRIM(I73&amp;"")&lt;&gt;"—",LEN(TRIM(J73&amp;""))&gt;0,TRIM(J73&amp;"")&lt;&gt;"—",LEN(TRIM(O73&amp;""))&gt;0,TRIM(O73&amp;"")&lt;&gt;"—"),"PASS","⚠ FAIL — "&amp;"a required cell is empty/placeholder or wrong type")</f>
        <v>PASS</v>
      </c>
    </row>
    <row r="74" customFormat="false" ht="15" hidden="true" customHeight="false" outlineLevel="1" collapsed="false">
      <c r="A74" s="11" t="s">
        <v>587</v>
      </c>
      <c r="B74" s="68" t="s">
        <v>588</v>
      </c>
      <c r="C74" s="28" t="n">
        <v>1</v>
      </c>
      <c r="D74" s="11" t="s">
        <v>479</v>
      </c>
      <c r="E74" s="11" t="s">
        <v>480</v>
      </c>
      <c r="F74" s="11" t="s">
        <v>429</v>
      </c>
      <c r="G74" s="15" t="s">
        <v>481</v>
      </c>
      <c r="H74" s="15"/>
      <c r="I74" s="11" t="n">
        <v>4</v>
      </c>
      <c r="J74" s="11" t="s">
        <v>432</v>
      </c>
      <c r="O74" s="69" t="str">
        <f aca="false">IF(AND(LEN(TRIM($B74&amp;""))&gt;0,LEN(TRIM($P74&amp;""))=0),"PASS","FAIL — "&amp;IF(LEN(TRIM($P74&amp;""))&gt;0,TRIM($P74&amp;""),"line ≠ qty×unit, a required cell empty, or qty/£ non-positive"))</f>
        <v>PASS</v>
      </c>
      <c r="P74" s="70"/>
      <c r="Q74" s="16" t="str">
        <f aca="false">IF(AND(LEN(TRIM(B74&amp;""))&gt;0,TRIM(B74&amp;"")&lt;&gt;"—",LEN(TRIM(C74&amp;""))&gt;0,TRIM(C74&amp;"")&lt;&gt;"—",ISNUMBER(C74),LEN(TRIM(F74&amp;""))&gt;0,TRIM(F74&amp;"")&lt;&gt;"—",LEN(TRIM(I74&amp;""))&gt;0,TRIM(I74&amp;"")&lt;&gt;"—",LEN(TRIM(J74&amp;""))&gt;0,TRIM(J74&amp;"")&lt;&gt;"—",LEN(TRIM(O74&amp;""))&gt;0,TRIM(O74&amp;"")&lt;&gt;"—"),"PASS","⚠ FAIL — "&amp;"a required cell is empty/placeholder or wrong type")</f>
        <v>PASS</v>
      </c>
    </row>
    <row r="75" customFormat="false" ht="15" hidden="true" customHeight="false" outlineLevel="1" collapsed="false">
      <c r="A75" s="11" t="s">
        <v>589</v>
      </c>
      <c r="B75" s="68" t="s">
        <v>590</v>
      </c>
      <c r="C75" s="28" t="n">
        <v>1</v>
      </c>
      <c r="D75" s="11" t="s">
        <v>479</v>
      </c>
      <c r="E75" s="11" t="s">
        <v>480</v>
      </c>
      <c r="F75" s="11" t="s">
        <v>436</v>
      </c>
      <c r="G75" s="15" t="s">
        <v>481</v>
      </c>
      <c r="H75" s="15"/>
      <c r="I75" s="11" t="n">
        <v>5</v>
      </c>
      <c r="J75" s="11" t="s">
        <v>432</v>
      </c>
      <c r="O75" s="69" t="str">
        <f aca="false">IF(AND(LEN(TRIM($B75&amp;""))&gt;0,LEN(TRIM($P75&amp;""))=0),"PASS","FAIL — "&amp;IF(LEN(TRIM($P75&amp;""))&gt;0,TRIM($P75&amp;""),"line ≠ qty×unit, a required cell empty, or qty/£ non-positive"))</f>
        <v>PASS</v>
      </c>
      <c r="P75" s="70"/>
      <c r="Q75" s="16" t="str">
        <f aca="false">IF(AND(LEN(TRIM(B75&amp;""))&gt;0,TRIM(B75&amp;"")&lt;&gt;"—",LEN(TRIM(C75&amp;""))&gt;0,TRIM(C75&amp;"")&lt;&gt;"—",ISNUMBER(C75),LEN(TRIM(F75&amp;""))&gt;0,TRIM(F75&amp;"")&lt;&gt;"—",LEN(TRIM(I75&amp;""))&gt;0,TRIM(I75&amp;"")&lt;&gt;"—",LEN(TRIM(J75&amp;""))&gt;0,TRIM(J75&amp;"")&lt;&gt;"—",LEN(TRIM(O75&amp;""))&gt;0,TRIM(O75&amp;"")&lt;&gt;"—"),"PASS","⚠ FAIL — "&amp;"a required cell is empty/placeholder or wrong type")</f>
        <v>PASS</v>
      </c>
    </row>
    <row r="76" customFormat="false" ht="15" hidden="true" customHeight="false" outlineLevel="1" collapsed="false">
      <c r="A76" s="11" t="s">
        <v>591</v>
      </c>
      <c r="B76" s="68" t="s">
        <v>592</v>
      </c>
      <c r="C76" s="28" t="n">
        <v>1</v>
      </c>
      <c r="D76" s="11" t="s">
        <v>479</v>
      </c>
      <c r="E76" s="11" t="s">
        <v>480</v>
      </c>
      <c r="F76" s="11" t="s">
        <v>436</v>
      </c>
      <c r="G76" s="15" t="s">
        <v>481</v>
      </c>
      <c r="H76" s="15"/>
      <c r="I76" s="11" t="n">
        <v>5</v>
      </c>
      <c r="J76" s="11" t="s">
        <v>432</v>
      </c>
      <c r="O76" s="69" t="str">
        <f aca="false">IF(AND(LEN(TRIM($B76&amp;""))&gt;0,LEN(TRIM($P76&amp;""))=0),"PASS","FAIL — "&amp;IF(LEN(TRIM($P76&amp;""))&gt;0,TRIM($P76&amp;""),"line ≠ qty×unit, a required cell empty, or qty/£ non-positive"))</f>
        <v>PASS</v>
      </c>
      <c r="P76" s="70"/>
      <c r="Q76" s="16" t="str">
        <f aca="false">IF(AND(LEN(TRIM(B76&amp;""))&gt;0,TRIM(B76&amp;"")&lt;&gt;"—",LEN(TRIM(C76&amp;""))&gt;0,TRIM(C76&amp;"")&lt;&gt;"—",ISNUMBER(C76),LEN(TRIM(F76&amp;""))&gt;0,TRIM(F76&amp;"")&lt;&gt;"—",LEN(TRIM(I76&amp;""))&gt;0,TRIM(I76&amp;"")&lt;&gt;"—",LEN(TRIM(J76&amp;""))&gt;0,TRIM(J76&amp;"")&lt;&gt;"—",LEN(TRIM(O76&amp;""))&gt;0,TRIM(O76&amp;"")&lt;&gt;"—"),"PASS","⚠ FAIL — "&amp;"a required cell is empty/placeholder or wrong type")</f>
        <v>PASS</v>
      </c>
    </row>
    <row r="77" customFormat="false" ht="15" hidden="true" customHeight="false" outlineLevel="1" collapsed="false">
      <c r="A77" s="11" t="s">
        <v>593</v>
      </c>
      <c r="B77" s="68" t="s">
        <v>594</v>
      </c>
      <c r="C77" s="28" t="n">
        <v>1</v>
      </c>
      <c r="D77" s="11" t="s">
        <v>479</v>
      </c>
      <c r="E77" s="11" t="s">
        <v>480</v>
      </c>
      <c r="F77" s="11" t="s">
        <v>436</v>
      </c>
      <c r="G77" s="15" t="s">
        <v>481</v>
      </c>
      <c r="H77" s="15"/>
      <c r="I77" s="11" t="n">
        <v>5</v>
      </c>
      <c r="J77" s="11" t="s">
        <v>432</v>
      </c>
      <c r="O77" s="69" t="str">
        <f aca="false">IF(AND(LEN(TRIM($B77&amp;""))&gt;0,LEN(TRIM($P77&amp;""))=0),"PASS","FAIL — "&amp;IF(LEN(TRIM($P77&amp;""))&gt;0,TRIM($P77&amp;""),"line ≠ qty×unit, a required cell empty, or qty/£ non-positive"))</f>
        <v>PASS</v>
      </c>
      <c r="P77" s="70"/>
      <c r="Q77" s="16" t="str">
        <f aca="false">IF(AND(LEN(TRIM(B77&amp;""))&gt;0,TRIM(B77&amp;"")&lt;&gt;"—",LEN(TRIM(C77&amp;""))&gt;0,TRIM(C77&amp;"")&lt;&gt;"—",ISNUMBER(C77),LEN(TRIM(F77&amp;""))&gt;0,TRIM(F77&amp;"")&lt;&gt;"—",LEN(TRIM(I77&amp;""))&gt;0,TRIM(I77&amp;"")&lt;&gt;"—",LEN(TRIM(J77&amp;""))&gt;0,TRIM(J77&amp;"")&lt;&gt;"—",LEN(TRIM(O77&amp;""))&gt;0,TRIM(O77&amp;"")&lt;&gt;"—"),"PASS","⚠ FAIL — "&amp;"a required cell is empty/placeholder or wrong type")</f>
        <v>PASS</v>
      </c>
    </row>
    <row r="78" customFormat="false" ht="15" hidden="true" customHeight="false" outlineLevel="1" collapsed="false">
      <c r="A78" s="11" t="s">
        <v>595</v>
      </c>
      <c r="B78" s="68" t="s">
        <v>596</v>
      </c>
      <c r="C78" s="28" t="n">
        <v>1</v>
      </c>
      <c r="D78" s="11" t="s">
        <v>479</v>
      </c>
      <c r="E78" s="11" t="s">
        <v>480</v>
      </c>
      <c r="F78" s="11" t="s">
        <v>436</v>
      </c>
      <c r="G78" s="15" t="s">
        <v>481</v>
      </c>
      <c r="H78" s="15"/>
      <c r="I78" s="11" t="n">
        <v>5</v>
      </c>
      <c r="J78" s="11" t="s">
        <v>432</v>
      </c>
      <c r="O78" s="69" t="str">
        <f aca="false">IF(AND(LEN(TRIM($B78&amp;""))&gt;0,LEN(TRIM($P78&amp;""))=0),"PASS","FAIL — "&amp;IF(LEN(TRIM($P78&amp;""))&gt;0,TRIM($P78&amp;""),"line ≠ qty×unit, a required cell empty, or qty/£ non-positive"))</f>
        <v>PASS</v>
      </c>
      <c r="P78" s="70"/>
      <c r="Q78" s="16" t="str">
        <f aca="false">IF(AND(LEN(TRIM(B78&amp;""))&gt;0,TRIM(B78&amp;"")&lt;&gt;"—",LEN(TRIM(C78&amp;""))&gt;0,TRIM(C78&amp;"")&lt;&gt;"—",ISNUMBER(C78),LEN(TRIM(F78&amp;""))&gt;0,TRIM(F78&amp;"")&lt;&gt;"—",LEN(TRIM(I78&amp;""))&gt;0,TRIM(I78&amp;"")&lt;&gt;"—",LEN(TRIM(J78&amp;""))&gt;0,TRIM(J78&amp;"")&lt;&gt;"—",LEN(TRIM(O78&amp;""))&gt;0,TRIM(O78&amp;"")&lt;&gt;"—"),"PASS","⚠ FAIL — "&amp;"a required cell is empty/placeholder or wrong type")</f>
        <v>PASS</v>
      </c>
    </row>
    <row r="79" customFormat="false" ht="15" hidden="true" customHeight="false" outlineLevel="1" collapsed="false">
      <c r="A79" s="11" t="s">
        <v>597</v>
      </c>
      <c r="B79" s="68" t="s">
        <v>598</v>
      </c>
      <c r="C79" s="28" t="n">
        <v>1</v>
      </c>
      <c r="D79" s="11" t="s">
        <v>479</v>
      </c>
      <c r="E79" s="11" t="s">
        <v>480</v>
      </c>
      <c r="F79" s="11" t="s">
        <v>436</v>
      </c>
      <c r="G79" s="15" t="s">
        <v>481</v>
      </c>
      <c r="H79" s="15"/>
      <c r="I79" s="11" t="n">
        <v>5</v>
      </c>
      <c r="J79" s="11" t="s">
        <v>432</v>
      </c>
      <c r="O79" s="69" t="str">
        <f aca="false">IF(AND(LEN(TRIM($B79&amp;""))&gt;0,LEN(TRIM($P79&amp;""))=0),"PASS","FAIL — "&amp;IF(LEN(TRIM($P79&amp;""))&gt;0,TRIM($P79&amp;""),"line ≠ qty×unit, a required cell empty, or qty/£ non-positive"))</f>
        <v>PASS</v>
      </c>
      <c r="P79" s="70"/>
      <c r="Q79" s="16" t="str">
        <f aca="false">IF(AND(LEN(TRIM(B79&amp;""))&gt;0,TRIM(B79&amp;"")&lt;&gt;"—",LEN(TRIM(C79&amp;""))&gt;0,TRIM(C79&amp;"")&lt;&gt;"—",ISNUMBER(C79),LEN(TRIM(F79&amp;""))&gt;0,TRIM(F79&amp;"")&lt;&gt;"—",LEN(TRIM(I79&amp;""))&gt;0,TRIM(I79&amp;"")&lt;&gt;"—",LEN(TRIM(J79&amp;""))&gt;0,TRIM(J79&amp;"")&lt;&gt;"—",LEN(TRIM(O79&amp;""))&gt;0,TRIM(O79&amp;"")&lt;&gt;"—"),"PASS","⚠ FAIL — "&amp;"a required cell is empty/placeholder or wrong type")</f>
        <v>PASS</v>
      </c>
    </row>
    <row r="80" customFormat="false" ht="32.8" hidden="false" customHeight="false" outlineLevel="0" collapsed="true">
      <c r="A80" s="11" t="str">
        <f aca="false">'Part names'!$A$64</f>
        <v>TK-103</v>
      </c>
      <c r="B80" s="68" t="str">
        <f aca="false">'Part names'!$B$64 &amp; "  · 1.1 m dia x 1.1 m"</f>
        <v>Nutrient Tank  · 1.1 m dia x 1.1 m</v>
      </c>
      <c r="C80" s="28" t="n">
        <v>8</v>
      </c>
      <c r="D80" s="36" t="n">
        <v>2844</v>
      </c>
      <c r="E80" s="36" t="n">
        <v>22752</v>
      </c>
      <c r="F80" s="11" t="s">
        <v>429</v>
      </c>
      <c r="G80" s="15" t="s">
        <v>599</v>
      </c>
      <c r="H80" s="15" t="s">
        <v>600</v>
      </c>
      <c r="I80" s="11" t="n">
        <v>4</v>
      </c>
      <c r="J80" s="11" t="s">
        <v>432</v>
      </c>
      <c r="K80" s="15" t="s">
        <v>601</v>
      </c>
      <c r="L80" s="68" t="s">
        <v>602</v>
      </c>
      <c r="M80" s="15" t="s">
        <v>603</v>
      </c>
      <c r="N80" s="68" t="s">
        <v>476</v>
      </c>
      <c r="O80" s="69" t="str">
        <f aca="false">IF(AND(LEN(TRIM($B80&amp;""))&gt;0,ISNUMBER($C80),$C80&gt;0,ISNUMBER($D80),$D80&gt;0,ISNUMBER($E80),$E80&gt;0,ABS($E80-$C80*$D80)&lt;=MAX(1,0.005*ABS($E80)),LEN(TRIM($M80&amp;""))&gt;0,TRIM($M80&amp;"")&lt;&gt;"—",LEN(TRIM($P80&amp;""))=0),"PASS","FAIL — "&amp;IF(LEN(TRIM($P80&amp;""))&gt;0,TRIM($P80&amp;""),"line ≠ qty×unit, a required cell empty, or qty/£ non-positive"))</f>
        <v>PASS</v>
      </c>
      <c r="P80" s="70"/>
      <c r="Q80" s="16" t="str">
        <f aca="false">IF(AND(LEN(TRIM(A80&amp;""))&gt;0,TRIM(A80&amp;"")&lt;&gt;"—",LEN(TRIM(B80&amp;""))&gt;0,TRIM(B80&amp;"")&lt;&gt;"—",LEN(TRIM(C80&amp;""))&gt;0,TRIM(C80&amp;"")&lt;&gt;"—",ISNUMBER(C80),LEN(TRIM(D80&amp;""))&gt;0,TRIM(D80&amp;"")&lt;&gt;"—",ISNUMBER(D80),LEN(TRIM(E80&amp;""))&gt;0,TRIM(E80&amp;"")&lt;&gt;"—",ISNUMBER(E80),LEN(TRIM(F80&amp;""))&gt;0,TRIM(F80&amp;"")&lt;&gt;"—",LEN(TRIM(I80&amp;""))&gt;0,TRIM(I80&amp;"")&lt;&gt;"—",LEN(TRIM(J80&amp;""))&gt;0,TRIM(J80&amp;"")&lt;&gt;"—",LEN(TRIM(O80&amp;""))&gt;0,TRIM(O80&amp;"")&lt;&gt;"—"),"PASS","⚠ FAIL — "&amp;"a required cell is empty/placeholder or wrong type")</f>
        <v>PASS</v>
      </c>
    </row>
    <row r="81" customFormat="false" ht="15" hidden="true" customHeight="false" outlineLevel="1" collapsed="false">
      <c r="A81" s="11" t="s">
        <v>604</v>
      </c>
      <c r="B81" s="68" t="s">
        <v>605</v>
      </c>
      <c r="C81" s="28" t="n">
        <v>1</v>
      </c>
      <c r="D81" s="11" t="s">
        <v>479</v>
      </c>
      <c r="E81" s="11" t="s">
        <v>480</v>
      </c>
      <c r="F81" s="11" t="s">
        <v>429</v>
      </c>
      <c r="G81" s="15" t="s">
        <v>481</v>
      </c>
      <c r="H81" s="15"/>
      <c r="I81" s="11" t="n">
        <v>4</v>
      </c>
      <c r="J81" s="11" t="s">
        <v>432</v>
      </c>
      <c r="O81" s="69" t="str">
        <f aca="false">IF(AND(LEN(TRIM($B81&amp;""))&gt;0,LEN(TRIM($P81&amp;""))=0),"PASS","FAIL — "&amp;IF(LEN(TRIM($P81&amp;""))&gt;0,TRIM($P81&amp;""),"line ≠ qty×unit, a required cell empty, or qty/£ non-positive"))</f>
        <v>PASS</v>
      </c>
      <c r="P81" s="70"/>
      <c r="Q81" s="16" t="str">
        <f aca="false">IF(AND(LEN(TRIM(B81&amp;""))&gt;0,TRIM(B81&amp;"")&lt;&gt;"—",LEN(TRIM(C81&amp;""))&gt;0,TRIM(C81&amp;"")&lt;&gt;"—",ISNUMBER(C81),LEN(TRIM(F81&amp;""))&gt;0,TRIM(F81&amp;"")&lt;&gt;"—",LEN(TRIM(I81&amp;""))&gt;0,TRIM(I81&amp;"")&lt;&gt;"—",LEN(TRIM(J81&amp;""))&gt;0,TRIM(J81&amp;"")&lt;&gt;"—",LEN(TRIM(O81&amp;""))&gt;0,TRIM(O81&amp;"")&lt;&gt;"—"),"PASS","⚠ FAIL — "&amp;"a required cell is empty/placeholder or wrong type")</f>
        <v>PASS</v>
      </c>
    </row>
    <row r="82" customFormat="false" ht="15" hidden="true" customHeight="false" outlineLevel="1" collapsed="false">
      <c r="A82" s="11" t="s">
        <v>606</v>
      </c>
      <c r="B82" s="68" t="s">
        <v>607</v>
      </c>
      <c r="C82" s="28" t="n">
        <v>1</v>
      </c>
      <c r="D82" s="11" t="s">
        <v>479</v>
      </c>
      <c r="E82" s="11" t="s">
        <v>480</v>
      </c>
      <c r="F82" s="11" t="s">
        <v>429</v>
      </c>
      <c r="G82" s="15" t="s">
        <v>481</v>
      </c>
      <c r="H82" s="15"/>
      <c r="I82" s="11" t="n">
        <v>4</v>
      </c>
      <c r="J82" s="11" t="s">
        <v>432</v>
      </c>
      <c r="O82" s="69" t="str">
        <f aca="false">IF(AND(LEN(TRIM($B82&amp;""))&gt;0,LEN(TRIM($P82&amp;""))=0),"PASS","FAIL — "&amp;IF(LEN(TRIM($P82&amp;""))&gt;0,TRIM($P82&amp;""),"line ≠ qty×unit, a required cell empty, or qty/£ non-positive"))</f>
        <v>PASS</v>
      </c>
      <c r="P82" s="70"/>
      <c r="Q82" s="16" t="str">
        <f aca="false">IF(AND(LEN(TRIM(B82&amp;""))&gt;0,TRIM(B82&amp;"")&lt;&gt;"—",LEN(TRIM(C82&amp;""))&gt;0,TRIM(C82&amp;"")&lt;&gt;"—",ISNUMBER(C82),LEN(TRIM(F82&amp;""))&gt;0,TRIM(F82&amp;"")&lt;&gt;"—",LEN(TRIM(I82&amp;""))&gt;0,TRIM(I82&amp;"")&lt;&gt;"—",LEN(TRIM(J82&amp;""))&gt;0,TRIM(J82&amp;"")&lt;&gt;"—",LEN(TRIM(O82&amp;""))&gt;0,TRIM(O82&amp;"")&lt;&gt;"—"),"PASS","⚠ FAIL — "&amp;"a required cell is empty/placeholder or wrong type")</f>
        <v>PASS</v>
      </c>
    </row>
    <row r="83" customFormat="false" ht="15" hidden="true" customHeight="false" outlineLevel="1" collapsed="false">
      <c r="A83" s="11" t="s">
        <v>608</v>
      </c>
      <c r="B83" s="68" t="s">
        <v>609</v>
      </c>
      <c r="C83" s="28" t="n">
        <v>1</v>
      </c>
      <c r="D83" s="11" t="s">
        <v>479</v>
      </c>
      <c r="E83" s="11" t="s">
        <v>480</v>
      </c>
      <c r="F83" s="11" t="s">
        <v>436</v>
      </c>
      <c r="G83" s="15" t="s">
        <v>481</v>
      </c>
      <c r="H83" s="15"/>
      <c r="I83" s="11" t="n">
        <v>5</v>
      </c>
      <c r="J83" s="11" t="s">
        <v>432</v>
      </c>
      <c r="O83" s="69" t="str">
        <f aca="false">IF(AND(LEN(TRIM($B83&amp;""))&gt;0,LEN(TRIM($P83&amp;""))=0),"PASS","FAIL — "&amp;IF(LEN(TRIM($P83&amp;""))&gt;0,TRIM($P83&amp;""),"line ≠ qty×unit, a required cell empty, or qty/£ non-positive"))</f>
        <v>PASS</v>
      </c>
      <c r="P83" s="70"/>
      <c r="Q83" s="16" t="str">
        <f aca="false">IF(AND(LEN(TRIM(B83&amp;""))&gt;0,TRIM(B83&amp;"")&lt;&gt;"—",LEN(TRIM(C83&amp;""))&gt;0,TRIM(C83&amp;"")&lt;&gt;"—",ISNUMBER(C83),LEN(TRIM(F83&amp;""))&gt;0,TRIM(F83&amp;"")&lt;&gt;"—",LEN(TRIM(I83&amp;""))&gt;0,TRIM(I83&amp;"")&lt;&gt;"—",LEN(TRIM(J83&amp;""))&gt;0,TRIM(J83&amp;"")&lt;&gt;"—",LEN(TRIM(O83&amp;""))&gt;0,TRIM(O83&amp;"")&lt;&gt;"—"),"PASS","⚠ FAIL — "&amp;"a required cell is empty/placeholder or wrong type")</f>
        <v>PASS</v>
      </c>
    </row>
    <row r="84" customFormat="false" ht="15" hidden="true" customHeight="false" outlineLevel="1" collapsed="false">
      <c r="A84" s="11" t="s">
        <v>610</v>
      </c>
      <c r="B84" s="68" t="s">
        <v>611</v>
      </c>
      <c r="C84" s="28" t="n">
        <v>1</v>
      </c>
      <c r="D84" s="11" t="s">
        <v>479</v>
      </c>
      <c r="E84" s="11" t="s">
        <v>480</v>
      </c>
      <c r="F84" s="11" t="s">
        <v>436</v>
      </c>
      <c r="G84" s="15" t="s">
        <v>481</v>
      </c>
      <c r="H84" s="15"/>
      <c r="I84" s="11" t="n">
        <v>5</v>
      </c>
      <c r="J84" s="11" t="s">
        <v>432</v>
      </c>
      <c r="O84" s="69" t="str">
        <f aca="false">IF(AND(LEN(TRIM($B84&amp;""))&gt;0,LEN(TRIM($P84&amp;""))=0),"PASS","FAIL — "&amp;IF(LEN(TRIM($P84&amp;""))&gt;0,TRIM($P84&amp;""),"line ≠ qty×unit, a required cell empty, or qty/£ non-positive"))</f>
        <v>PASS</v>
      </c>
      <c r="P84" s="70"/>
      <c r="Q84" s="16" t="str">
        <f aca="false">IF(AND(LEN(TRIM(B84&amp;""))&gt;0,TRIM(B84&amp;"")&lt;&gt;"—",LEN(TRIM(C84&amp;""))&gt;0,TRIM(C84&amp;"")&lt;&gt;"—",ISNUMBER(C84),LEN(TRIM(F84&amp;""))&gt;0,TRIM(F84&amp;"")&lt;&gt;"—",LEN(TRIM(I84&amp;""))&gt;0,TRIM(I84&amp;"")&lt;&gt;"—",LEN(TRIM(J84&amp;""))&gt;0,TRIM(J84&amp;"")&lt;&gt;"—",LEN(TRIM(O84&amp;""))&gt;0,TRIM(O84&amp;"")&lt;&gt;"—"),"PASS","⚠ FAIL — "&amp;"a required cell is empty/placeholder or wrong type")</f>
        <v>PASS</v>
      </c>
    </row>
    <row r="85" customFormat="false" ht="15" hidden="true" customHeight="false" outlineLevel="1" collapsed="false">
      <c r="A85" s="11" t="s">
        <v>612</v>
      </c>
      <c r="B85" s="68" t="s">
        <v>613</v>
      </c>
      <c r="C85" s="28" t="n">
        <v>1</v>
      </c>
      <c r="D85" s="11" t="s">
        <v>479</v>
      </c>
      <c r="E85" s="11" t="s">
        <v>480</v>
      </c>
      <c r="F85" s="11" t="s">
        <v>436</v>
      </c>
      <c r="G85" s="15" t="s">
        <v>481</v>
      </c>
      <c r="H85" s="15"/>
      <c r="I85" s="11" t="n">
        <v>5</v>
      </c>
      <c r="J85" s="11" t="s">
        <v>432</v>
      </c>
      <c r="O85" s="69" t="str">
        <f aca="false">IF(AND(LEN(TRIM($B85&amp;""))&gt;0,LEN(TRIM($P85&amp;""))=0),"PASS","FAIL — "&amp;IF(LEN(TRIM($P85&amp;""))&gt;0,TRIM($P85&amp;""),"line ≠ qty×unit, a required cell empty, or qty/£ non-positive"))</f>
        <v>PASS</v>
      </c>
      <c r="P85" s="70"/>
      <c r="Q85" s="16" t="str">
        <f aca="false">IF(AND(LEN(TRIM(B85&amp;""))&gt;0,TRIM(B85&amp;"")&lt;&gt;"—",LEN(TRIM(C85&amp;""))&gt;0,TRIM(C85&amp;"")&lt;&gt;"—",ISNUMBER(C85),LEN(TRIM(F85&amp;""))&gt;0,TRIM(F85&amp;"")&lt;&gt;"—",LEN(TRIM(I85&amp;""))&gt;0,TRIM(I85&amp;"")&lt;&gt;"—",LEN(TRIM(J85&amp;""))&gt;0,TRIM(J85&amp;"")&lt;&gt;"—",LEN(TRIM(O85&amp;""))&gt;0,TRIM(O85&amp;"")&lt;&gt;"—"),"PASS","⚠ FAIL — "&amp;"a required cell is empty/placeholder or wrong type")</f>
        <v>PASS</v>
      </c>
    </row>
    <row r="86" customFormat="false" ht="15" hidden="true" customHeight="false" outlineLevel="1" collapsed="false">
      <c r="A86" s="11" t="s">
        <v>614</v>
      </c>
      <c r="B86" s="68" t="s">
        <v>615</v>
      </c>
      <c r="C86" s="28" t="n">
        <v>1</v>
      </c>
      <c r="D86" s="11" t="s">
        <v>479</v>
      </c>
      <c r="E86" s="11" t="s">
        <v>480</v>
      </c>
      <c r="F86" s="11" t="s">
        <v>429</v>
      </c>
      <c r="G86" s="15" t="s">
        <v>481</v>
      </c>
      <c r="H86" s="15"/>
      <c r="I86" s="11" t="n">
        <v>4</v>
      </c>
      <c r="J86" s="11" t="s">
        <v>432</v>
      </c>
      <c r="O86" s="69" t="str">
        <f aca="false">IF(AND(LEN(TRIM($B86&amp;""))&gt;0,LEN(TRIM($P86&amp;""))=0),"PASS","FAIL — "&amp;IF(LEN(TRIM($P86&amp;""))&gt;0,TRIM($P86&amp;""),"line ≠ qty×unit, a required cell empty, or qty/£ non-positive"))</f>
        <v>PASS</v>
      </c>
      <c r="P86" s="70"/>
      <c r="Q86" s="16" t="str">
        <f aca="false">IF(AND(LEN(TRIM(B86&amp;""))&gt;0,TRIM(B86&amp;"")&lt;&gt;"—",LEN(TRIM(C86&amp;""))&gt;0,TRIM(C86&amp;"")&lt;&gt;"—",ISNUMBER(C86),LEN(TRIM(F86&amp;""))&gt;0,TRIM(F86&amp;"")&lt;&gt;"—",LEN(TRIM(I86&amp;""))&gt;0,TRIM(I86&amp;"")&lt;&gt;"—",LEN(TRIM(J86&amp;""))&gt;0,TRIM(J86&amp;"")&lt;&gt;"—",LEN(TRIM(O86&amp;""))&gt;0,TRIM(O86&amp;"")&lt;&gt;"—"),"PASS","⚠ FAIL — "&amp;"a required cell is empty/placeholder or wrong type")</f>
        <v>PASS</v>
      </c>
    </row>
    <row r="87" customFormat="false" ht="15" hidden="true" customHeight="false" outlineLevel="1" collapsed="false">
      <c r="A87" s="11" t="s">
        <v>616</v>
      </c>
      <c r="B87" s="68" t="s">
        <v>617</v>
      </c>
      <c r="C87" s="28" t="n">
        <v>1</v>
      </c>
      <c r="D87" s="11" t="s">
        <v>479</v>
      </c>
      <c r="E87" s="11" t="s">
        <v>480</v>
      </c>
      <c r="F87" s="11" t="s">
        <v>436</v>
      </c>
      <c r="G87" s="15" t="s">
        <v>481</v>
      </c>
      <c r="H87" s="15"/>
      <c r="I87" s="11" t="n">
        <v>5</v>
      </c>
      <c r="J87" s="11" t="s">
        <v>432</v>
      </c>
      <c r="O87" s="69" t="str">
        <f aca="false">IF(AND(LEN(TRIM($B87&amp;""))&gt;0,LEN(TRIM($P87&amp;""))=0),"PASS","FAIL — "&amp;IF(LEN(TRIM($P87&amp;""))&gt;0,TRIM($P87&amp;""),"line ≠ qty×unit, a required cell empty, or qty/£ non-positive"))</f>
        <v>PASS</v>
      </c>
      <c r="P87" s="70"/>
      <c r="Q87" s="16" t="str">
        <f aca="false">IF(AND(LEN(TRIM(B87&amp;""))&gt;0,TRIM(B87&amp;"")&lt;&gt;"—",LEN(TRIM(C87&amp;""))&gt;0,TRIM(C87&amp;"")&lt;&gt;"—",ISNUMBER(C87),LEN(TRIM(F87&amp;""))&gt;0,TRIM(F87&amp;"")&lt;&gt;"—",LEN(TRIM(I87&amp;""))&gt;0,TRIM(I87&amp;"")&lt;&gt;"—",LEN(TRIM(J87&amp;""))&gt;0,TRIM(J87&amp;"")&lt;&gt;"—",LEN(TRIM(O87&amp;""))&gt;0,TRIM(O87&amp;"")&lt;&gt;"—"),"PASS","⚠ FAIL — "&amp;"a required cell is empty/placeholder or wrong type")</f>
        <v>PASS</v>
      </c>
    </row>
    <row r="88" customFormat="false" ht="15" hidden="true" customHeight="false" outlineLevel="1" collapsed="false">
      <c r="A88" s="11" t="s">
        <v>618</v>
      </c>
      <c r="B88" s="68" t="s">
        <v>619</v>
      </c>
      <c r="C88" s="28" t="n">
        <v>1</v>
      </c>
      <c r="D88" s="11" t="s">
        <v>479</v>
      </c>
      <c r="E88" s="11" t="s">
        <v>480</v>
      </c>
      <c r="F88" s="11" t="s">
        <v>429</v>
      </c>
      <c r="G88" s="15" t="s">
        <v>481</v>
      </c>
      <c r="H88" s="15"/>
      <c r="I88" s="11" t="n">
        <v>4</v>
      </c>
      <c r="J88" s="11" t="s">
        <v>432</v>
      </c>
      <c r="O88" s="69" t="str">
        <f aca="false">IF(AND(LEN(TRIM($B88&amp;""))&gt;0,LEN(TRIM($P88&amp;""))=0),"PASS","FAIL — "&amp;IF(LEN(TRIM($P88&amp;""))&gt;0,TRIM($P88&amp;""),"line ≠ qty×unit, a required cell empty, or qty/£ non-positive"))</f>
        <v>PASS</v>
      </c>
      <c r="P88" s="70"/>
      <c r="Q88" s="16" t="str">
        <f aca="false">IF(AND(LEN(TRIM(B88&amp;""))&gt;0,TRIM(B88&amp;"")&lt;&gt;"—",LEN(TRIM(C88&amp;""))&gt;0,TRIM(C88&amp;"")&lt;&gt;"—",ISNUMBER(C88),LEN(TRIM(F88&amp;""))&gt;0,TRIM(F88&amp;"")&lt;&gt;"—",LEN(TRIM(I88&amp;""))&gt;0,TRIM(I88&amp;"")&lt;&gt;"—",LEN(TRIM(J88&amp;""))&gt;0,TRIM(J88&amp;"")&lt;&gt;"—",LEN(TRIM(O88&amp;""))&gt;0,TRIM(O88&amp;"")&lt;&gt;"—"),"PASS","⚠ FAIL — "&amp;"a required cell is empty/placeholder or wrong type")</f>
        <v>PASS</v>
      </c>
    </row>
    <row r="89" customFormat="false" ht="15" hidden="true" customHeight="false" outlineLevel="1" collapsed="false">
      <c r="A89" s="11" t="s">
        <v>620</v>
      </c>
      <c r="B89" s="68" t="s">
        <v>621</v>
      </c>
      <c r="C89" s="28" t="n">
        <v>1</v>
      </c>
      <c r="D89" s="11" t="s">
        <v>479</v>
      </c>
      <c r="E89" s="11" t="s">
        <v>480</v>
      </c>
      <c r="F89" s="11" t="s">
        <v>436</v>
      </c>
      <c r="G89" s="15" t="s">
        <v>481</v>
      </c>
      <c r="H89" s="15"/>
      <c r="I89" s="11" t="n">
        <v>5</v>
      </c>
      <c r="J89" s="11" t="s">
        <v>432</v>
      </c>
      <c r="O89" s="69" t="str">
        <f aca="false">IF(AND(LEN(TRIM($B89&amp;""))&gt;0,LEN(TRIM($P89&amp;""))=0),"PASS","FAIL — "&amp;IF(LEN(TRIM($P89&amp;""))&gt;0,TRIM($P89&amp;""),"line ≠ qty×unit, a required cell empty, or qty/£ non-positive"))</f>
        <v>PASS</v>
      </c>
      <c r="P89" s="70"/>
      <c r="Q89" s="16" t="str">
        <f aca="false">IF(AND(LEN(TRIM(B89&amp;""))&gt;0,TRIM(B89&amp;"")&lt;&gt;"—",LEN(TRIM(C89&amp;""))&gt;0,TRIM(C89&amp;"")&lt;&gt;"—",ISNUMBER(C89),LEN(TRIM(F89&amp;""))&gt;0,TRIM(F89&amp;"")&lt;&gt;"—",LEN(TRIM(I89&amp;""))&gt;0,TRIM(I89&amp;"")&lt;&gt;"—",LEN(TRIM(J89&amp;""))&gt;0,TRIM(J89&amp;"")&lt;&gt;"—",LEN(TRIM(O89&amp;""))&gt;0,TRIM(O89&amp;"")&lt;&gt;"—"),"PASS","⚠ FAIL — "&amp;"a required cell is empty/placeholder or wrong type")</f>
        <v>PASS</v>
      </c>
    </row>
    <row r="90" customFormat="false" ht="15" hidden="true" customHeight="false" outlineLevel="1" collapsed="false">
      <c r="A90" s="11" t="s">
        <v>622</v>
      </c>
      <c r="B90" s="68" t="s">
        <v>567</v>
      </c>
      <c r="C90" s="28" t="n">
        <v>1</v>
      </c>
      <c r="D90" s="11" t="s">
        <v>479</v>
      </c>
      <c r="E90" s="11" t="s">
        <v>480</v>
      </c>
      <c r="F90" s="11" t="s">
        <v>436</v>
      </c>
      <c r="G90" s="15" t="s">
        <v>481</v>
      </c>
      <c r="H90" s="15"/>
      <c r="I90" s="11" t="n">
        <v>5</v>
      </c>
      <c r="J90" s="11" t="s">
        <v>432</v>
      </c>
      <c r="O90" s="69" t="str">
        <f aca="false">IF(AND(LEN(TRIM($B90&amp;""))&gt;0,LEN(TRIM($P90&amp;""))=0),"PASS","FAIL — "&amp;IF(LEN(TRIM($P90&amp;""))&gt;0,TRIM($P90&amp;""),"line ≠ qty×unit, a required cell empty, or qty/£ non-positive"))</f>
        <v>PASS</v>
      </c>
      <c r="P90" s="70"/>
      <c r="Q90" s="16" t="str">
        <f aca="false">IF(AND(LEN(TRIM(B90&amp;""))&gt;0,TRIM(B90&amp;"")&lt;&gt;"—",LEN(TRIM(C90&amp;""))&gt;0,TRIM(C90&amp;"")&lt;&gt;"—",ISNUMBER(C90),LEN(TRIM(F90&amp;""))&gt;0,TRIM(F90&amp;"")&lt;&gt;"—",LEN(TRIM(I90&amp;""))&gt;0,TRIM(I90&amp;"")&lt;&gt;"—",LEN(TRIM(J90&amp;""))&gt;0,TRIM(J90&amp;"")&lt;&gt;"—",LEN(TRIM(O90&amp;""))&gt;0,TRIM(O90&amp;"")&lt;&gt;"—"),"PASS","⚠ FAIL — "&amp;"a required cell is empty/placeholder or wrong type")</f>
        <v>PASS</v>
      </c>
    </row>
    <row r="91" customFormat="false" ht="15" hidden="true" customHeight="false" outlineLevel="1" collapsed="false">
      <c r="A91" s="11" t="s">
        <v>623</v>
      </c>
      <c r="B91" s="68" t="s">
        <v>499</v>
      </c>
      <c r="C91" s="28" t="n">
        <v>1</v>
      </c>
      <c r="D91" s="11" t="s">
        <v>479</v>
      </c>
      <c r="E91" s="11" t="s">
        <v>480</v>
      </c>
      <c r="F91" s="11" t="s">
        <v>436</v>
      </c>
      <c r="G91" s="15" t="s">
        <v>481</v>
      </c>
      <c r="H91" s="15"/>
      <c r="I91" s="11" t="n">
        <v>5</v>
      </c>
      <c r="J91" s="11" t="s">
        <v>432</v>
      </c>
      <c r="O91" s="69" t="str">
        <f aca="false">IF(AND(LEN(TRIM($B91&amp;""))&gt;0,LEN(TRIM($P91&amp;""))=0),"PASS","FAIL — "&amp;IF(LEN(TRIM($P91&amp;""))&gt;0,TRIM($P91&amp;""),"line ≠ qty×unit, a required cell empty, or qty/£ non-positive"))</f>
        <v>PASS</v>
      </c>
      <c r="P91" s="70"/>
      <c r="Q91" s="16" t="str">
        <f aca="false">IF(AND(LEN(TRIM(B91&amp;""))&gt;0,TRIM(B91&amp;"")&lt;&gt;"—",LEN(TRIM(C91&amp;""))&gt;0,TRIM(C91&amp;"")&lt;&gt;"—",ISNUMBER(C91),LEN(TRIM(F91&amp;""))&gt;0,TRIM(F91&amp;"")&lt;&gt;"—",LEN(TRIM(I91&amp;""))&gt;0,TRIM(I91&amp;"")&lt;&gt;"—",LEN(TRIM(J91&amp;""))&gt;0,TRIM(J91&amp;"")&lt;&gt;"—",LEN(TRIM(O91&amp;""))&gt;0,TRIM(O91&amp;"")&lt;&gt;"—"),"PASS","⚠ FAIL — "&amp;"a required cell is empty/placeholder or wrong type")</f>
        <v>PASS</v>
      </c>
    </row>
    <row r="92" customFormat="false" ht="64.15" hidden="false" customHeight="false" outlineLevel="0" collapsed="true">
      <c r="A92" s="11" t="str">
        <f aca="false">'Part names'!$A$40</f>
        <v>P-102</v>
      </c>
      <c r="B92" s="68" t="str">
        <f aca="false">'Part names'!$B$40 &amp; "  · 25 m³/h · 900x500x700 mm"</f>
        <v>Hand Watering Pump  · 25 m³/h · 900x500x700 mm</v>
      </c>
      <c r="C92" s="28" t="n">
        <v>1</v>
      </c>
      <c r="D92" s="36" t="n">
        <v>2500</v>
      </c>
      <c r="E92" s="36" t="n">
        <v>2500</v>
      </c>
      <c r="F92" s="11" t="s">
        <v>429</v>
      </c>
      <c r="G92" s="15" t="s">
        <v>624</v>
      </c>
      <c r="H92" s="15" t="s">
        <v>625</v>
      </c>
      <c r="I92" s="11" t="n">
        <v>4</v>
      </c>
      <c r="J92" s="11" t="s">
        <v>432</v>
      </c>
      <c r="K92" s="15" t="s">
        <v>626</v>
      </c>
      <c r="L92" s="68" t="s">
        <v>512</v>
      </c>
      <c r="M92" s="15" t="s">
        <v>627</v>
      </c>
      <c r="N92" s="68" t="s">
        <v>628</v>
      </c>
      <c r="O92" s="69" t="str">
        <f aca="false">IF(AND(LEN(TRIM($B92&amp;""))&gt;0,ISNUMBER($C92),$C92&gt;0,ISNUMBER($D92),$D92&gt;0,ISNUMBER($E92),$E92&gt;0,ABS($E92-$C92*$D92)&lt;=MAX(1,0.005*ABS($E92)),LEN(TRIM($M92&amp;""))&gt;0,TRIM($M92&amp;"")&lt;&gt;"—",LEN(TRIM($P92&amp;""))=0),"PASS","FAIL — "&amp;IF(LEN(TRIM($P92&amp;""))&gt;0,TRIM($P92&amp;""),"line ≠ qty×unit, a required cell empty, or qty/£ non-positive"))</f>
        <v>PASS</v>
      </c>
      <c r="P92" s="70"/>
      <c r="Q92" s="16" t="str">
        <f aca="false">IF(AND(LEN(TRIM(A92&amp;""))&gt;0,TRIM(A92&amp;"")&lt;&gt;"—",LEN(TRIM(B92&amp;""))&gt;0,TRIM(B92&amp;"")&lt;&gt;"—",LEN(TRIM(C92&amp;""))&gt;0,TRIM(C92&amp;"")&lt;&gt;"—",ISNUMBER(C92),LEN(TRIM(D92&amp;""))&gt;0,TRIM(D92&amp;"")&lt;&gt;"—",ISNUMBER(D92),LEN(TRIM(E92&amp;""))&gt;0,TRIM(E92&amp;"")&lt;&gt;"—",ISNUMBER(E92),LEN(TRIM(F92&amp;""))&gt;0,TRIM(F92&amp;"")&lt;&gt;"—",LEN(TRIM(I92&amp;""))&gt;0,TRIM(I92&amp;"")&lt;&gt;"—",LEN(TRIM(J92&amp;""))&gt;0,TRIM(J92&amp;"")&lt;&gt;"—",LEN(TRIM(O92&amp;""))&gt;0,TRIM(O92&amp;"")&lt;&gt;"—"),"PASS","⚠ FAIL — "&amp;"a required cell is empty/placeholder or wrong type")</f>
        <v>PASS</v>
      </c>
    </row>
    <row r="93" customFormat="false" ht="15" hidden="true" customHeight="false" outlineLevel="1" collapsed="false">
      <c r="A93" s="11" t="s">
        <v>629</v>
      </c>
      <c r="B93" s="68" t="s">
        <v>573</v>
      </c>
      <c r="C93" s="28" t="n">
        <v>1</v>
      </c>
      <c r="D93" s="11" t="s">
        <v>479</v>
      </c>
      <c r="E93" s="11" t="s">
        <v>480</v>
      </c>
      <c r="F93" s="11" t="s">
        <v>436</v>
      </c>
      <c r="G93" s="15" t="s">
        <v>481</v>
      </c>
      <c r="H93" s="15"/>
      <c r="I93" s="11" t="n">
        <v>5</v>
      </c>
      <c r="J93" s="11" t="s">
        <v>432</v>
      </c>
      <c r="O93" s="69" t="str">
        <f aca="false">IF(AND(LEN(TRIM($B93&amp;""))&gt;0,LEN(TRIM($P93&amp;""))=0),"PASS","FAIL — "&amp;IF(LEN(TRIM($P93&amp;""))&gt;0,TRIM($P93&amp;""),"line ≠ qty×unit, a required cell empty, or qty/£ non-positive"))</f>
        <v>PASS</v>
      </c>
      <c r="P93" s="70"/>
      <c r="Q93" s="16" t="str">
        <f aca="false">IF(AND(LEN(TRIM(B93&amp;""))&gt;0,TRIM(B93&amp;"")&lt;&gt;"—",LEN(TRIM(C93&amp;""))&gt;0,TRIM(C93&amp;"")&lt;&gt;"—",ISNUMBER(C93),LEN(TRIM(F93&amp;""))&gt;0,TRIM(F93&amp;"")&lt;&gt;"—",LEN(TRIM(I93&amp;""))&gt;0,TRIM(I93&amp;"")&lt;&gt;"—",LEN(TRIM(J93&amp;""))&gt;0,TRIM(J93&amp;"")&lt;&gt;"—",LEN(TRIM(O93&amp;""))&gt;0,TRIM(O93&amp;"")&lt;&gt;"—"),"PASS","⚠ FAIL — "&amp;"a required cell is empty/placeholder or wrong type")</f>
        <v>PASS</v>
      </c>
    </row>
    <row r="94" customFormat="false" ht="15" hidden="true" customHeight="false" outlineLevel="1" collapsed="false">
      <c r="A94" s="11" t="s">
        <v>630</v>
      </c>
      <c r="B94" s="68" t="s">
        <v>575</v>
      </c>
      <c r="C94" s="28" t="n">
        <v>1</v>
      </c>
      <c r="D94" s="11" t="s">
        <v>479</v>
      </c>
      <c r="E94" s="11" t="s">
        <v>480</v>
      </c>
      <c r="F94" s="11" t="s">
        <v>429</v>
      </c>
      <c r="G94" s="15" t="s">
        <v>481</v>
      </c>
      <c r="H94" s="15"/>
      <c r="I94" s="11" t="n">
        <v>4</v>
      </c>
      <c r="J94" s="11" t="s">
        <v>432</v>
      </c>
      <c r="O94" s="69" t="str">
        <f aca="false">IF(AND(LEN(TRIM($B94&amp;""))&gt;0,LEN(TRIM($P94&amp;""))=0),"PASS","FAIL — "&amp;IF(LEN(TRIM($P94&amp;""))&gt;0,TRIM($P94&amp;""),"line ≠ qty×unit, a required cell empty, or qty/£ non-positive"))</f>
        <v>PASS</v>
      </c>
      <c r="P94" s="70"/>
      <c r="Q94" s="16" t="str">
        <f aca="false">IF(AND(LEN(TRIM(B94&amp;""))&gt;0,TRIM(B94&amp;"")&lt;&gt;"—",LEN(TRIM(C94&amp;""))&gt;0,TRIM(C94&amp;"")&lt;&gt;"—",ISNUMBER(C94),LEN(TRIM(F94&amp;""))&gt;0,TRIM(F94&amp;"")&lt;&gt;"—",LEN(TRIM(I94&amp;""))&gt;0,TRIM(I94&amp;"")&lt;&gt;"—",LEN(TRIM(J94&amp;""))&gt;0,TRIM(J94&amp;"")&lt;&gt;"—",LEN(TRIM(O94&amp;""))&gt;0,TRIM(O94&amp;"")&lt;&gt;"—"),"PASS","⚠ FAIL — "&amp;"a required cell is empty/placeholder or wrong type")</f>
        <v>PASS</v>
      </c>
    </row>
    <row r="95" customFormat="false" ht="15" hidden="true" customHeight="false" outlineLevel="1" collapsed="false">
      <c r="A95" s="11" t="s">
        <v>631</v>
      </c>
      <c r="B95" s="68" t="s">
        <v>632</v>
      </c>
      <c r="C95" s="28" t="n">
        <v>1</v>
      </c>
      <c r="D95" s="11" t="s">
        <v>479</v>
      </c>
      <c r="E95" s="11" t="s">
        <v>480</v>
      </c>
      <c r="F95" s="11" t="s">
        <v>429</v>
      </c>
      <c r="G95" s="15" t="s">
        <v>481</v>
      </c>
      <c r="H95" s="15"/>
      <c r="I95" s="11" t="n">
        <v>4</v>
      </c>
      <c r="J95" s="11" t="s">
        <v>432</v>
      </c>
      <c r="O95" s="69" t="str">
        <f aca="false">IF(AND(LEN(TRIM($B95&amp;""))&gt;0,LEN(TRIM($P95&amp;""))=0),"PASS","FAIL — "&amp;IF(LEN(TRIM($P95&amp;""))&gt;0,TRIM($P95&amp;""),"line ≠ qty×unit, a required cell empty, or qty/£ non-positive"))</f>
        <v>PASS</v>
      </c>
      <c r="P95" s="70"/>
      <c r="Q95" s="16" t="str">
        <f aca="false">IF(AND(LEN(TRIM(B95&amp;""))&gt;0,TRIM(B95&amp;"")&lt;&gt;"—",LEN(TRIM(C95&amp;""))&gt;0,TRIM(C95&amp;"")&lt;&gt;"—",ISNUMBER(C95),LEN(TRIM(F95&amp;""))&gt;0,TRIM(F95&amp;"")&lt;&gt;"—",LEN(TRIM(I95&amp;""))&gt;0,TRIM(I95&amp;"")&lt;&gt;"—",LEN(TRIM(J95&amp;""))&gt;0,TRIM(J95&amp;"")&lt;&gt;"—",LEN(TRIM(O95&amp;""))&gt;0,TRIM(O95&amp;"")&lt;&gt;"—"),"PASS","⚠ FAIL — "&amp;"a required cell is empty/placeholder or wrong type")</f>
        <v>PASS</v>
      </c>
    </row>
    <row r="96" customFormat="false" ht="15" hidden="true" customHeight="false" outlineLevel="1" collapsed="false">
      <c r="A96" s="11" t="s">
        <v>633</v>
      </c>
      <c r="B96" s="68" t="s">
        <v>634</v>
      </c>
      <c r="C96" s="28" t="n">
        <v>1</v>
      </c>
      <c r="D96" s="11" t="s">
        <v>479</v>
      </c>
      <c r="E96" s="11" t="s">
        <v>480</v>
      </c>
      <c r="F96" s="11" t="s">
        <v>421</v>
      </c>
      <c r="G96" s="15"/>
      <c r="H96" s="15" t="s">
        <v>580</v>
      </c>
      <c r="I96" s="11" t="n">
        <v>2</v>
      </c>
      <c r="J96" s="11" t="s">
        <v>423</v>
      </c>
      <c r="O96" s="69" t="str">
        <f aca="false">IF(AND(LEN(TRIM($B96&amp;""))&gt;0,LEN(TRIM($P96&amp;""))=0),"PASS","FAIL — "&amp;IF(LEN(TRIM($P96&amp;""))&gt;0,TRIM($P96&amp;""),"line ≠ qty×unit, a required cell empty, or qty/£ non-positive"))</f>
        <v>PASS</v>
      </c>
      <c r="P96" s="70"/>
      <c r="Q96" s="16" t="str">
        <f aca="false">IF(AND(LEN(TRIM(B96&amp;""))&gt;0,TRIM(B96&amp;"")&lt;&gt;"—",LEN(TRIM(C96&amp;""))&gt;0,TRIM(C96&amp;"")&lt;&gt;"—",ISNUMBER(C96),LEN(TRIM(F96&amp;""))&gt;0,TRIM(F96&amp;"")&lt;&gt;"—",LEN(TRIM(I96&amp;""))&gt;0,TRIM(I96&amp;"")&lt;&gt;"—",LEN(TRIM(J96&amp;""))&gt;0,TRIM(J96&amp;"")&lt;&gt;"—",LEN(TRIM(O96&amp;""))&gt;0,TRIM(O96&amp;"")&lt;&gt;"—"),"PASS","⚠ FAIL — "&amp;"a required cell is empty/placeholder or wrong type")</f>
        <v>PASS</v>
      </c>
    </row>
    <row r="97" customFormat="false" ht="15" hidden="true" customHeight="false" outlineLevel="1" collapsed="false">
      <c r="A97" s="11" t="s">
        <v>635</v>
      </c>
      <c r="B97" s="68" t="s">
        <v>582</v>
      </c>
      <c r="C97" s="28" t="n">
        <v>1</v>
      </c>
      <c r="D97" s="11" t="s">
        <v>479</v>
      </c>
      <c r="E97" s="11" t="s">
        <v>480</v>
      </c>
      <c r="F97" s="11" t="s">
        <v>429</v>
      </c>
      <c r="G97" s="15" t="s">
        <v>481</v>
      </c>
      <c r="H97" s="15"/>
      <c r="I97" s="11" t="n">
        <v>4</v>
      </c>
      <c r="J97" s="11" t="s">
        <v>432</v>
      </c>
      <c r="O97" s="69" t="str">
        <f aca="false">IF(AND(LEN(TRIM($B97&amp;""))&gt;0,LEN(TRIM($P97&amp;""))=0),"PASS","FAIL — "&amp;IF(LEN(TRIM($P97&amp;""))&gt;0,TRIM($P97&amp;""),"line ≠ qty×unit, a required cell empty, or qty/£ non-positive"))</f>
        <v>PASS</v>
      </c>
      <c r="P97" s="70"/>
      <c r="Q97" s="16" t="str">
        <f aca="false">IF(AND(LEN(TRIM(B97&amp;""))&gt;0,TRIM(B97&amp;"")&lt;&gt;"—",LEN(TRIM(C97&amp;""))&gt;0,TRIM(C97&amp;"")&lt;&gt;"—",ISNUMBER(C97),LEN(TRIM(F97&amp;""))&gt;0,TRIM(F97&amp;"")&lt;&gt;"—",LEN(TRIM(I97&amp;""))&gt;0,TRIM(I97&amp;"")&lt;&gt;"—",LEN(TRIM(J97&amp;""))&gt;0,TRIM(J97&amp;"")&lt;&gt;"—",LEN(TRIM(O97&amp;""))&gt;0,TRIM(O97&amp;"")&lt;&gt;"—"),"PASS","⚠ FAIL — "&amp;"a required cell is empty/placeholder or wrong type")</f>
        <v>PASS</v>
      </c>
    </row>
    <row r="98" customFormat="false" ht="15" hidden="true" customHeight="false" outlineLevel="1" collapsed="false">
      <c r="A98" s="11" t="s">
        <v>636</v>
      </c>
      <c r="B98" s="68" t="s">
        <v>584</v>
      </c>
      <c r="C98" s="28" t="n">
        <v>1</v>
      </c>
      <c r="D98" s="11" t="s">
        <v>479</v>
      </c>
      <c r="E98" s="11" t="s">
        <v>480</v>
      </c>
      <c r="F98" s="11" t="s">
        <v>429</v>
      </c>
      <c r="G98" s="15" t="s">
        <v>481</v>
      </c>
      <c r="H98" s="15"/>
      <c r="I98" s="11" t="n">
        <v>4</v>
      </c>
      <c r="J98" s="11" t="s">
        <v>432</v>
      </c>
      <c r="O98" s="69" t="str">
        <f aca="false">IF(AND(LEN(TRIM($B98&amp;""))&gt;0,LEN(TRIM($P98&amp;""))=0),"PASS","FAIL — "&amp;IF(LEN(TRIM($P98&amp;""))&gt;0,TRIM($P98&amp;""),"line ≠ qty×unit, a required cell empty, or qty/£ non-positive"))</f>
        <v>PASS</v>
      </c>
      <c r="P98" s="70"/>
      <c r="Q98" s="16" t="str">
        <f aca="false">IF(AND(LEN(TRIM(B98&amp;""))&gt;0,TRIM(B98&amp;"")&lt;&gt;"—",LEN(TRIM(C98&amp;""))&gt;0,TRIM(C98&amp;"")&lt;&gt;"—",ISNUMBER(C98),LEN(TRIM(F98&amp;""))&gt;0,TRIM(F98&amp;"")&lt;&gt;"—",LEN(TRIM(I98&amp;""))&gt;0,TRIM(I98&amp;"")&lt;&gt;"—",LEN(TRIM(J98&amp;""))&gt;0,TRIM(J98&amp;"")&lt;&gt;"—",LEN(TRIM(O98&amp;""))&gt;0,TRIM(O98&amp;"")&lt;&gt;"—"),"PASS","⚠ FAIL — "&amp;"a required cell is empty/placeholder or wrong type")</f>
        <v>PASS</v>
      </c>
    </row>
    <row r="99" customFormat="false" ht="15" hidden="true" customHeight="false" outlineLevel="1" collapsed="false">
      <c r="A99" s="11" t="s">
        <v>637</v>
      </c>
      <c r="B99" s="68" t="s">
        <v>586</v>
      </c>
      <c r="C99" s="28" t="n">
        <v>1</v>
      </c>
      <c r="D99" s="11" t="s">
        <v>479</v>
      </c>
      <c r="E99" s="11" t="s">
        <v>480</v>
      </c>
      <c r="F99" s="11" t="s">
        <v>436</v>
      </c>
      <c r="G99" s="15" t="s">
        <v>481</v>
      </c>
      <c r="H99" s="15"/>
      <c r="I99" s="11" t="n">
        <v>5</v>
      </c>
      <c r="J99" s="11" t="s">
        <v>432</v>
      </c>
      <c r="O99" s="69" t="str">
        <f aca="false">IF(AND(LEN(TRIM($B99&amp;""))&gt;0,LEN(TRIM($P99&amp;""))=0),"PASS","FAIL — "&amp;IF(LEN(TRIM($P99&amp;""))&gt;0,TRIM($P99&amp;""),"line ≠ qty×unit, a required cell empty, or qty/£ non-positive"))</f>
        <v>PASS</v>
      </c>
      <c r="P99" s="70"/>
      <c r="Q99" s="16" t="str">
        <f aca="false">IF(AND(LEN(TRIM(B99&amp;""))&gt;0,TRIM(B99&amp;"")&lt;&gt;"—",LEN(TRIM(C99&amp;""))&gt;0,TRIM(C99&amp;"")&lt;&gt;"—",ISNUMBER(C99),LEN(TRIM(F99&amp;""))&gt;0,TRIM(F99&amp;"")&lt;&gt;"—",LEN(TRIM(I99&amp;""))&gt;0,TRIM(I99&amp;"")&lt;&gt;"—",LEN(TRIM(J99&amp;""))&gt;0,TRIM(J99&amp;"")&lt;&gt;"—",LEN(TRIM(O99&amp;""))&gt;0,TRIM(O99&amp;"")&lt;&gt;"—"),"PASS","⚠ FAIL — "&amp;"a required cell is empty/placeholder or wrong type")</f>
        <v>PASS</v>
      </c>
    </row>
    <row r="100" customFormat="false" ht="15" hidden="true" customHeight="false" outlineLevel="1" collapsed="false">
      <c r="A100" s="11" t="s">
        <v>638</v>
      </c>
      <c r="B100" s="68" t="s">
        <v>588</v>
      </c>
      <c r="C100" s="28" t="n">
        <v>1</v>
      </c>
      <c r="D100" s="11" t="s">
        <v>479</v>
      </c>
      <c r="E100" s="11" t="s">
        <v>480</v>
      </c>
      <c r="F100" s="11" t="s">
        <v>429</v>
      </c>
      <c r="G100" s="15" t="s">
        <v>481</v>
      </c>
      <c r="H100" s="15"/>
      <c r="I100" s="11" t="n">
        <v>4</v>
      </c>
      <c r="J100" s="11" t="s">
        <v>432</v>
      </c>
      <c r="O100" s="69" t="str">
        <f aca="false">IF(AND(LEN(TRIM($B100&amp;""))&gt;0,LEN(TRIM($P100&amp;""))=0),"PASS","FAIL — "&amp;IF(LEN(TRIM($P100&amp;""))&gt;0,TRIM($P100&amp;""),"line ≠ qty×unit, a required cell empty, or qty/£ non-positive"))</f>
        <v>PASS</v>
      </c>
      <c r="P100" s="70"/>
      <c r="Q100" s="16" t="str">
        <f aca="false">IF(AND(LEN(TRIM(B100&amp;""))&gt;0,TRIM(B100&amp;"")&lt;&gt;"—",LEN(TRIM(C100&amp;""))&gt;0,TRIM(C100&amp;"")&lt;&gt;"—",ISNUMBER(C100),LEN(TRIM(F100&amp;""))&gt;0,TRIM(F100&amp;"")&lt;&gt;"—",LEN(TRIM(I100&amp;""))&gt;0,TRIM(I100&amp;"")&lt;&gt;"—",LEN(TRIM(J100&amp;""))&gt;0,TRIM(J100&amp;"")&lt;&gt;"—",LEN(TRIM(O100&amp;""))&gt;0,TRIM(O100&amp;"")&lt;&gt;"—"),"PASS","⚠ FAIL — "&amp;"a required cell is empty/placeholder or wrong type")</f>
        <v>PASS</v>
      </c>
    </row>
    <row r="101" customFormat="false" ht="15" hidden="true" customHeight="false" outlineLevel="1" collapsed="false">
      <c r="A101" s="11" t="s">
        <v>639</v>
      </c>
      <c r="B101" s="68" t="s">
        <v>590</v>
      </c>
      <c r="C101" s="28" t="n">
        <v>1</v>
      </c>
      <c r="D101" s="11" t="s">
        <v>479</v>
      </c>
      <c r="E101" s="11" t="s">
        <v>480</v>
      </c>
      <c r="F101" s="11" t="s">
        <v>436</v>
      </c>
      <c r="G101" s="15" t="s">
        <v>481</v>
      </c>
      <c r="H101" s="15"/>
      <c r="I101" s="11" t="n">
        <v>5</v>
      </c>
      <c r="J101" s="11" t="s">
        <v>432</v>
      </c>
      <c r="O101" s="69" t="str">
        <f aca="false">IF(AND(LEN(TRIM($B101&amp;""))&gt;0,LEN(TRIM($P101&amp;""))=0),"PASS","FAIL — "&amp;IF(LEN(TRIM($P101&amp;""))&gt;0,TRIM($P101&amp;""),"line ≠ qty×unit, a required cell empty, or qty/£ non-positive"))</f>
        <v>PASS</v>
      </c>
      <c r="P101" s="70"/>
      <c r="Q101" s="16" t="str">
        <f aca="false">IF(AND(LEN(TRIM(B101&amp;""))&gt;0,TRIM(B101&amp;"")&lt;&gt;"—",LEN(TRIM(C101&amp;""))&gt;0,TRIM(C101&amp;"")&lt;&gt;"—",ISNUMBER(C101),LEN(TRIM(F101&amp;""))&gt;0,TRIM(F101&amp;"")&lt;&gt;"—",LEN(TRIM(I101&amp;""))&gt;0,TRIM(I101&amp;"")&lt;&gt;"—",LEN(TRIM(J101&amp;""))&gt;0,TRIM(J101&amp;"")&lt;&gt;"—",LEN(TRIM(O101&amp;""))&gt;0,TRIM(O101&amp;"")&lt;&gt;"—"),"PASS","⚠ FAIL — "&amp;"a required cell is empty/placeholder or wrong type")</f>
        <v>PASS</v>
      </c>
    </row>
    <row r="102" customFormat="false" ht="15" hidden="true" customHeight="false" outlineLevel="1" collapsed="false">
      <c r="A102" s="11" t="s">
        <v>640</v>
      </c>
      <c r="B102" s="68" t="s">
        <v>592</v>
      </c>
      <c r="C102" s="28" t="n">
        <v>1</v>
      </c>
      <c r="D102" s="11" t="s">
        <v>479</v>
      </c>
      <c r="E102" s="11" t="s">
        <v>480</v>
      </c>
      <c r="F102" s="11" t="s">
        <v>436</v>
      </c>
      <c r="G102" s="15" t="s">
        <v>481</v>
      </c>
      <c r="H102" s="15"/>
      <c r="I102" s="11" t="n">
        <v>5</v>
      </c>
      <c r="J102" s="11" t="s">
        <v>432</v>
      </c>
      <c r="O102" s="69" t="str">
        <f aca="false">IF(AND(LEN(TRIM($B102&amp;""))&gt;0,LEN(TRIM($P102&amp;""))=0),"PASS","FAIL — "&amp;IF(LEN(TRIM($P102&amp;""))&gt;0,TRIM($P102&amp;""),"line ≠ qty×unit, a required cell empty, or qty/£ non-positive"))</f>
        <v>PASS</v>
      </c>
      <c r="P102" s="70"/>
      <c r="Q102" s="16" t="str">
        <f aca="false">IF(AND(LEN(TRIM(B102&amp;""))&gt;0,TRIM(B102&amp;"")&lt;&gt;"—",LEN(TRIM(C102&amp;""))&gt;0,TRIM(C102&amp;"")&lt;&gt;"—",ISNUMBER(C102),LEN(TRIM(F102&amp;""))&gt;0,TRIM(F102&amp;"")&lt;&gt;"—",LEN(TRIM(I102&amp;""))&gt;0,TRIM(I102&amp;"")&lt;&gt;"—",LEN(TRIM(J102&amp;""))&gt;0,TRIM(J102&amp;"")&lt;&gt;"—",LEN(TRIM(O102&amp;""))&gt;0,TRIM(O102&amp;"")&lt;&gt;"—"),"PASS","⚠ FAIL — "&amp;"a required cell is empty/placeholder or wrong type")</f>
        <v>PASS</v>
      </c>
    </row>
    <row r="103" customFormat="false" ht="15" hidden="true" customHeight="false" outlineLevel="1" collapsed="false">
      <c r="A103" s="11" t="s">
        <v>641</v>
      </c>
      <c r="B103" s="68" t="s">
        <v>594</v>
      </c>
      <c r="C103" s="28" t="n">
        <v>1</v>
      </c>
      <c r="D103" s="11" t="s">
        <v>479</v>
      </c>
      <c r="E103" s="11" t="s">
        <v>480</v>
      </c>
      <c r="F103" s="11" t="s">
        <v>436</v>
      </c>
      <c r="G103" s="15" t="s">
        <v>481</v>
      </c>
      <c r="H103" s="15"/>
      <c r="I103" s="11" t="n">
        <v>5</v>
      </c>
      <c r="J103" s="11" t="s">
        <v>432</v>
      </c>
      <c r="O103" s="69" t="str">
        <f aca="false">IF(AND(LEN(TRIM($B103&amp;""))&gt;0,LEN(TRIM($P103&amp;""))=0),"PASS","FAIL — "&amp;IF(LEN(TRIM($P103&amp;""))&gt;0,TRIM($P103&amp;""),"line ≠ qty×unit, a required cell empty, or qty/£ non-positive"))</f>
        <v>PASS</v>
      </c>
      <c r="P103" s="70"/>
      <c r="Q103" s="16" t="str">
        <f aca="false">IF(AND(LEN(TRIM(B103&amp;""))&gt;0,TRIM(B103&amp;"")&lt;&gt;"—",LEN(TRIM(C103&amp;""))&gt;0,TRIM(C103&amp;"")&lt;&gt;"—",ISNUMBER(C103),LEN(TRIM(F103&amp;""))&gt;0,TRIM(F103&amp;"")&lt;&gt;"—",LEN(TRIM(I103&amp;""))&gt;0,TRIM(I103&amp;"")&lt;&gt;"—",LEN(TRIM(J103&amp;""))&gt;0,TRIM(J103&amp;"")&lt;&gt;"—",LEN(TRIM(O103&amp;""))&gt;0,TRIM(O103&amp;"")&lt;&gt;"—"),"PASS","⚠ FAIL — "&amp;"a required cell is empty/placeholder or wrong type")</f>
        <v>PASS</v>
      </c>
    </row>
    <row r="104" customFormat="false" ht="15" hidden="true" customHeight="false" outlineLevel="1" collapsed="false">
      <c r="A104" s="11" t="s">
        <v>642</v>
      </c>
      <c r="B104" s="68" t="s">
        <v>596</v>
      </c>
      <c r="C104" s="28" t="n">
        <v>1</v>
      </c>
      <c r="D104" s="11" t="s">
        <v>479</v>
      </c>
      <c r="E104" s="11" t="s">
        <v>480</v>
      </c>
      <c r="F104" s="11" t="s">
        <v>436</v>
      </c>
      <c r="G104" s="15" t="s">
        <v>481</v>
      </c>
      <c r="H104" s="15"/>
      <c r="I104" s="11" t="n">
        <v>5</v>
      </c>
      <c r="J104" s="11" t="s">
        <v>432</v>
      </c>
      <c r="O104" s="69" t="str">
        <f aca="false">IF(AND(LEN(TRIM($B104&amp;""))&gt;0,LEN(TRIM($P104&amp;""))=0),"PASS","FAIL — "&amp;IF(LEN(TRIM($P104&amp;""))&gt;0,TRIM($P104&amp;""),"line ≠ qty×unit, a required cell empty, or qty/£ non-positive"))</f>
        <v>PASS</v>
      </c>
      <c r="P104" s="70"/>
      <c r="Q104" s="16" t="str">
        <f aca="false">IF(AND(LEN(TRIM(B104&amp;""))&gt;0,TRIM(B104&amp;"")&lt;&gt;"—",LEN(TRIM(C104&amp;""))&gt;0,TRIM(C104&amp;"")&lt;&gt;"—",ISNUMBER(C104),LEN(TRIM(F104&amp;""))&gt;0,TRIM(F104&amp;"")&lt;&gt;"—",LEN(TRIM(I104&amp;""))&gt;0,TRIM(I104&amp;"")&lt;&gt;"—",LEN(TRIM(J104&amp;""))&gt;0,TRIM(J104&amp;"")&lt;&gt;"—",LEN(TRIM(O104&amp;""))&gt;0,TRIM(O104&amp;"")&lt;&gt;"—"),"PASS","⚠ FAIL — "&amp;"a required cell is empty/placeholder or wrong type")</f>
        <v>PASS</v>
      </c>
    </row>
    <row r="105" customFormat="false" ht="15" hidden="true" customHeight="false" outlineLevel="1" collapsed="false">
      <c r="A105" s="11" t="s">
        <v>643</v>
      </c>
      <c r="B105" s="68" t="s">
        <v>598</v>
      </c>
      <c r="C105" s="28" t="n">
        <v>1</v>
      </c>
      <c r="D105" s="11" t="s">
        <v>479</v>
      </c>
      <c r="E105" s="11" t="s">
        <v>480</v>
      </c>
      <c r="F105" s="11" t="s">
        <v>436</v>
      </c>
      <c r="G105" s="15" t="s">
        <v>481</v>
      </c>
      <c r="H105" s="15"/>
      <c r="I105" s="11" t="n">
        <v>5</v>
      </c>
      <c r="J105" s="11" t="s">
        <v>432</v>
      </c>
      <c r="O105" s="69" t="str">
        <f aca="false">IF(AND(LEN(TRIM($B105&amp;""))&gt;0,LEN(TRIM($P105&amp;""))=0),"PASS","FAIL — "&amp;IF(LEN(TRIM($P105&amp;""))&gt;0,TRIM($P105&amp;""),"line ≠ qty×unit, a required cell empty, or qty/£ non-positive"))</f>
        <v>PASS</v>
      </c>
      <c r="P105" s="70"/>
      <c r="Q105" s="16" t="str">
        <f aca="false">IF(AND(LEN(TRIM(B105&amp;""))&gt;0,TRIM(B105&amp;"")&lt;&gt;"—",LEN(TRIM(C105&amp;""))&gt;0,TRIM(C105&amp;"")&lt;&gt;"—",ISNUMBER(C105),LEN(TRIM(F105&amp;""))&gt;0,TRIM(F105&amp;"")&lt;&gt;"—",LEN(TRIM(I105&amp;""))&gt;0,TRIM(I105&amp;"")&lt;&gt;"—",LEN(TRIM(J105&amp;""))&gt;0,TRIM(J105&amp;"")&lt;&gt;"—",LEN(TRIM(O105&amp;""))&gt;0,TRIM(O105&amp;"")&lt;&gt;"—"),"PASS","⚠ FAIL — "&amp;"a required cell is empty/placeholder or wrong type")</f>
        <v>PASS</v>
      </c>
    </row>
    <row r="106" customFormat="false" ht="32.8" hidden="false" customHeight="false" outlineLevel="0" collapsed="true">
      <c r="A106" s="11" t="str">
        <f aca="false">'Part names'!$A$25</f>
        <v>TK-114</v>
      </c>
      <c r="B106" s="68" t="str">
        <f aca="false">'Part names'!$B$25 &amp; "  · 2.1 m dia x 1.4 m"</f>
        <v>Drain Collection Sump  · 2.1 m dia x 1.4 m</v>
      </c>
      <c r="C106" s="28" t="n">
        <v>2</v>
      </c>
      <c r="D106" s="36" t="n">
        <v>4683</v>
      </c>
      <c r="E106" s="36" t="n">
        <v>9366</v>
      </c>
      <c r="F106" s="11" t="s">
        <v>429</v>
      </c>
      <c r="G106" s="15" t="s">
        <v>644</v>
      </c>
      <c r="H106" s="15" t="s">
        <v>645</v>
      </c>
      <c r="I106" s="11" t="n">
        <v>4</v>
      </c>
      <c r="J106" s="11" t="s">
        <v>432</v>
      </c>
      <c r="K106" s="15" t="s">
        <v>646</v>
      </c>
      <c r="L106" s="68" t="s">
        <v>602</v>
      </c>
      <c r="M106" s="15" t="s">
        <v>647</v>
      </c>
      <c r="N106" s="68" t="s">
        <v>476</v>
      </c>
      <c r="O106" s="69" t="str">
        <f aca="false">IF(AND(LEN(TRIM($B106&amp;""))&gt;0,ISNUMBER($C106),$C106&gt;0,ISNUMBER($D106),$D106&gt;0,ISNUMBER($E106),$E106&gt;0,ABS($E106-$C106*$D106)&lt;=MAX(1,0.005*ABS($E106)),LEN(TRIM($M106&amp;""))&gt;0,TRIM($M106&amp;"")&lt;&gt;"—",LEN(TRIM($P106&amp;""))=0),"PASS","FAIL — "&amp;IF(LEN(TRIM($P106&amp;""))&gt;0,TRIM($P106&amp;""),"line ≠ qty×unit, a required cell empty, or qty/£ non-positive"))</f>
        <v>PASS</v>
      </c>
      <c r="P106" s="70"/>
      <c r="Q106" s="16" t="str">
        <f aca="false">IF(AND(LEN(TRIM(A106&amp;""))&gt;0,TRIM(A106&amp;"")&lt;&gt;"—",LEN(TRIM(B106&amp;""))&gt;0,TRIM(B106&amp;"")&lt;&gt;"—",LEN(TRIM(C106&amp;""))&gt;0,TRIM(C106&amp;"")&lt;&gt;"—",ISNUMBER(C106),LEN(TRIM(D106&amp;""))&gt;0,TRIM(D106&amp;"")&lt;&gt;"—",ISNUMBER(D106),LEN(TRIM(E106&amp;""))&gt;0,TRIM(E106&amp;"")&lt;&gt;"—",ISNUMBER(E106),LEN(TRIM(F106&amp;""))&gt;0,TRIM(F106&amp;"")&lt;&gt;"—",LEN(TRIM(I106&amp;""))&gt;0,TRIM(I106&amp;"")&lt;&gt;"—",LEN(TRIM(J106&amp;""))&gt;0,TRIM(J106&amp;"")&lt;&gt;"—",LEN(TRIM(O106&amp;""))&gt;0,TRIM(O106&amp;"")&lt;&gt;"—"),"PASS","⚠ FAIL — "&amp;"a required cell is empty/placeholder or wrong type")</f>
        <v>PASS</v>
      </c>
    </row>
    <row r="107" customFormat="false" ht="15" hidden="true" customHeight="false" outlineLevel="1" collapsed="false">
      <c r="A107" s="11" t="s">
        <v>648</v>
      </c>
      <c r="B107" s="68" t="s">
        <v>605</v>
      </c>
      <c r="C107" s="28" t="n">
        <v>1</v>
      </c>
      <c r="D107" s="11" t="s">
        <v>479</v>
      </c>
      <c r="E107" s="11" t="s">
        <v>480</v>
      </c>
      <c r="F107" s="11" t="s">
        <v>429</v>
      </c>
      <c r="G107" s="15" t="s">
        <v>481</v>
      </c>
      <c r="H107" s="15"/>
      <c r="I107" s="11" t="n">
        <v>4</v>
      </c>
      <c r="J107" s="11" t="s">
        <v>432</v>
      </c>
      <c r="O107" s="69" t="str">
        <f aca="false">IF(AND(LEN(TRIM($B107&amp;""))&gt;0,LEN(TRIM($P107&amp;""))=0),"PASS","FAIL — "&amp;IF(LEN(TRIM($P107&amp;""))&gt;0,TRIM($P107&amp;""),"line ≠ qty×unit, a required cell empty, or qty/£ non-positive"))</f>
        <v>PASS</v>
      </c>
      <c r="P107" s="70"/>
      <c r="Q107" s="16" t="str">
        <f aca="false">IF(AND(LEN(TRIM(B107&amp;""))&gt;0,TRIM(B107&amp;"")&lt;&gt;"—",LEN(TRIM(C107&amp;""))&gt;0,TRIM(C107&amp;"")&lt;&gt;"—",ISNUMBER(C107),LEN(TRIM(F107&amp;""))&gt;0,TRIM(F107&amp;"")&lt;&gt;"—",LEN(TRIM(I107&amp;""))&gt;0,TRIM(I107&amp;"")&lt;&gt;"—",LEN(TRIM(J107&amp;""))&gt;0,TRIM(J107&amp;"")&lt;&gt;"—",LEN(TRIM(O107&amp;""))&gt;0,TRIM(O107&amp;"")&lt;&gt;"—"),"PASS","⚠ FAIL — "&amp;"a required cell is empty/placeholder or wrong type")</f>
        <v>PASS</v>
      </c>
    </row>
    <row r="108" customFormat="false" ht="15" hidden="true" customHeight="false" outlineLevel="1" collapsed="false">
      <c r="A108" s="11" t="s">
        <v>649</v>
      </c>
      <c r="B108" s="68" t="s">
        <v>607</v>
      </c>
      <c r="C108" s="28" t="n">
        <v>1</v>
      </c>
      <c r="D108" s="11" t="s">
        <v>479</v>
      </c>
      <c r="E108" s="11" t="s">
        <v>480</v>
      </c>
      <c r="F108" s="11" t="s">
        <v>429</v>
      </c>
      <c r="G108" s="15" t="s">
        <v>481</v>
      </c>
      <c r="H108" s="15"/>
      <c r="I108" s="11" t="n">
        <v>4</v>
      </c>
      <c r="J108" s="11" t="s">
        <v>432</v>
      </c>
      <c r="O108" s="69" t="str">
        <f aca="false">IF(AND(LEN(TRIM($B108&amp;""))&gt;0,LEN(TRIM($P108&amp;""))=0),"PASS","FAIL — "&amp;IF(LEN(TRIM($P108&amp;""))&gt;0,TRIM($P108&amp;""),"line ≠ qty×unit, a required cell empty, or qty/£ non-positive"))</f>
        <v>PASS</v>
      </c>
      <c r="P108" s="70"/>
      <c r="Q108" s="16" t="str">
        <f aca="false">IF(AND(LEN(TRIM(B108&amp;""))&gt;0,TRIM(B108&amp;"")&lt;&gt;"—",LEN(TRIM(C108&amp;""))&gt;0,TRIM(C108&amp;"")&lt;&gt;"—",ISNUMBER(C108),LEN(TRIM(F108&amp;""))&gt;0,TRIM(F108&amp;"")&lt;&gt;"—",LEN(TRIM(I108&amp;""))&gt;0,TRIM(I108&amp;"")&lt;&gt;"—",LEN(TRIM(J108&amp;""))&gt;0,TRIM(J108&amp;"")&lt;&gt;"—",LEN(TRIM(O108&amp;""))&gt;0,TRIM(O108&amp;"")&lt;&gt;"—"),"PASS","⚠ FAIL — "&amp;"a required cell is empty/placeholder or wrong type")</f>
        <v>PASS</v>
      </c>
    </row>
    <row r="109" customFormat="false" ht="15" hidden="true" customHeight="false" outlineLevel="1" collapsed="false">
      <c r="A109" s="11" t="s">
        <v>650</v>
      </c>
      <c r="B109" s="68" t="s">
        <v>609</v>
      </c>
      <c r="C109" s="28" t="n">
        <v>1</v>
      </c>
      <c r="D109" s="11" t="s">
        <v>479</v>
      </c>
      <c r="E109" s="11" t="s">
        <v>480</v>
      </c>
      <c r="F109" s="11" t="s">
        <v>436</v>
      </c>
      <c r="G109" s="15" t="s">
        <v>481</v>
      </c>
      <c r="H109" s="15"/>
      <c r="I109" s="11" t="n">
        <v>5</v>
      </c>
      <c r="J109" s="11" t="s">
        <v>432</v>
      </c>
      <c r="O109" s="69" t="str">
        <f aca="false">IF(AND(LEN(TRIM($B109&amp;""))&gt;0,LEN(TRIM($P109&amp;""))=0),"PASS","FAIL — "&amp;IF(LEN(TRIM($P109&amp;""))&gt;0,TRIM($P109&amp;""),"line ≠ qty×unit, a required cell empty, or qty/£ non-positive"))</f>
        <v>PASS</v>
      </c>
      <c r="P109" s="70"/>
      <c r="Q109" s="16" t="str">
        <f aca="false">IF(AND(LEN(TRIM(B109&amp;""))&gt;0,TRIM(B109&amp;"")&lt;&gt;"—",LEN(TRIM(C109&amp;""))&gt;0,TRIM(C109&amp;"")&lt;&gt;"—",ISNUMBER(C109),LEN(TRIM(F109&amp;""))&gt;0,TRIM(F109&amp;"")&lt;&gt;"—",LEN(TRIM(I109&amp;""))&gt;0,TRIM(I109&amp;"")&lt;&gt;"—",LEN(TRIM(J109&amp;""))&gt;0,TRIM(J109&amp;"")&lt;&gt;"—",LEN(TRIM(O109&amp;""))&gt;0,TRIM(O109&amp;"")&lt;&gt;"—"),"PASS","⚠ FAIL — "&amp;"a required cell is empty/placeholder or wrong type")</f>
        <v>PASS</v>
      </c>
    </row>
    <row r="110" customFormat="false" ht="15" hidden="true" customHeight="false" outlineLevel="1" collapsed="false">
      <c r="A110" s="11" t="s">
        <v>651</v>
      </c>
      <c r="B110" s="68" t="s">
        <v>611</v>
      </c>
      <c r="C110" s="28" t="n">
        <v>1</v>
      </c>
      <c r="D110" s="11" t="s">
        <v>479</v>
      </c>
      <c r="E110" s="11" t="s">
        <v>480</v>
      </c>
      <c r="F110" s="11" t="s">
        <v>436</v>
      </c>
      <c r="G110" s="15" t="s">
        <v>481</v>
      </c>
      <c r="H110" s="15"/>
      <c r="I110" s="11" t="n">
        <v>5</v>
      </c>
      <c r="J110" s="11" t="s">
        <v>432</v>
      </c>
      <c r="O110" s="69" t="str">
        <f aca="false">IF(AND(LEN(TRIM($B110&amp;""))&gt;0,LEN(TRIM($P110&amp;""))=0),"PASS","FAIL — "&amp;IF(LEN(TRIM($P110&amp;""))&gt;0,TRIM($P110&amp;""),"line ≠ qty×unit, a required cell empty, or qty/£ non-positive"))</f>
        <v>PASS</v>
      </c>
      <c r="P110" s="70"/>
      <c r="Q110" s="16" t="str">
        <f aca="false">IF(AND(LEN(TRIM(B110&amp;""))&gt;0,TRIM(B110&amp;"")&lt;&gt;"—",LEN(TRIM(C110&amp;""))&gt;0,TRIM(C110&amp;"")&lt;&gt;"—",ISNUMBER(C110),LEN(TRIM(F110&amp;""))&gt;0,TRIM(F110&amp;"")&lt;&gt;"—",LEN(TRIM(I110&amp;""))&gt;0,TRIM(I110&amp;"")&lt;&gt;"—",LEN(TRIM(J110&amp;""))&gt;0,TRIM(J110&amp;"")&lt;&gt;"—",LEN(TRIM(O110&amp;""))&gt;0,TRIM(O110&amp;"")&lt;&gt;"—"),"PASS","⚠ FAIL — "&amp;"a required cell is empty/placeholder or wrong type")</f>
        <v>PASS</v>
      </c>
    </row>
    <row r="111" customFormat="false" ht="15" hidden="true" customHeight="false" outlineLevel="1" collapsed="false">
      <c r="A111" s="11" t="s">
        <v>652</v>
      </c>
      <c r="B111" s="68" t="s">
        <v>613</v>
      </c>
      <c r="C111" s="28" t="n">
        <v>1</v>
      </c>
      <c r="D111" s="11" t="s">
        <v>479</v>
      </c>
      <c r="E111" s="11" t="s">
        <v>480</v>
      </c>
      <c r="F111" s="11" t="s">
        <v>436</v>
      </c>
      <c r="G111" s="15" t="s">
        <v>481</v>
      </c>
      <c r="H111" s="15"/>
      <c r="I111" s="11" t="n">
        <v>5</v>
      </c>
      <c r="J111" s="11" t="s">
        <v>432</v>
      </c>
      <c r="O111" s="69" t="str">
        <f aca="false">IF(AND(LEN(TRIM($B111&amp;""))&gt;0,LEN(TRIM($P111&amp;""))=0),"PASS","FAIL — "&amp;IF(LEN(TRIM($P111&amp;""))&gt;0,TRIM($P111&amp;""),"line ≠ qty×unit, a required cell empty, or qty/£ non-positive"))</f>
        <v>PASS</v>
      </c>
      <c r="P111" s="70"/>
      <c r="Q111" s="16" t="str">
        <f aca="false">IF(AND(LEN(TRIM(B111&amp;""))&gt;0,TRIM(B111&amp;"")&lt;&gt;"—",LEN(TRIM(C111&amp;""))&gt;0,TRIM(C111&amp;"")&lt;&gt;"—",ISNUMBER(C111),LEN(TRIM(F111&amp;""))&gt;0,TRIM(F111&amp;"")&lt;&gt;"—",LEN(TRIM(I111&amp;""))&gt;0,TRIM(I111&amp;"")&lt;&gt;"—",LEN(TRIM(J111&amp;""))&gt;0,TRIM(J111&amp;"")&lt;&gt;"—",LEN(TRIM(O111&amp;""))&gt;0,TRIM(O111&amp;"")&lt;&gt;"—"),"PASS","⚠ FAIL — "&amp;"a required cell is empty/placeholder or wrong type")</f>
        <v>PASS</v>
      </c>
    </row>
    <row r="112" customFormat="false" ht="15" hidden="true" customHeight="false" outlineLevel="1" collapsed="false">
      <c r="A112" s="11" t="s">
        <v>653</v>
      </c>
      <c r="B112" s="68" t="s">
        <v>615</v>
      </c>
      <c r="C112" s="28" t="n">
        <v>1</v>
      </c>
      <c r="D112" s="11" t="s">
        <v>479</v>
      </c>
      <c r="E112" s="11" t="s">
        <v>480</v>
      </c>
      <c r="F112" s="11" t="s">
        <v>429</v>
      </c>
      <c r="G112" s="15" t="s">
        <v>481</v>
      </c>
      <c r="H112" s="15"/>
      <c r="I112" s="11" t="n">
        <v>4</v>
      </c>
      <c r="J112" s="11" t="s">
        <v>432</v>
      </c>
      <c r="O112" s="69" t="str">
        <f aca="false">IF(AND(LEN(TRIM($B112&amp;""))&gt;0,LEN(TRIM($P112&amp;""))=0),"PASS","FAIL — "&amp;IF(LEN(TRIM($P112&amp;""))&gt;0,TRIM($P112&amp;""),"line ≠ qty×unit, a required cell empty, or qty/£ non-positive"))</f>
        <v>PASS</v>
      </c>
      <c r="P112" s="70"/>
      <c r="Q112" s="16" t="str">
        <f aca="false">IF(AND(LEN(TRIM(B112&amp;""))&gt;0,TRIM(B112&amp;"")&lt;&gt;"—",LEN(TRIM(C112&amp;""))&gt;0,TRIM(C112&amp;"")&lt;&gt;"—",ISNUMBER(C112),LEN(TRIM(F112&amp;""))&gt;0,TRIM(F112&amp;"")&lt;&gt;"—",LEN(TRIM(I112&amp;""))&gt;0,TRIM(I112&amp;"")&lt;&gt;"—",LEN(TRIM(J112&amp;""))&gt;0,TRIM(J112&amp;"")&lt;&gt;"—",LEN(TRIM(O112&amp;""))&gt;0,TRIM(O112&amp;"")&lt;&gt;"—"),"PASS","⚠ FAIL — "&amp;"a required cell is empty/placeholder or wrong type")</f>
        <v>PASS</v>
      </c>
    </row>
    <row r="113" customFormat="false" ht="15" hidden="true" customHeight="false" outlineLevel="1" collapsed="false">
      <c r="A113" s="11" t="s">
        <v>654</v>
      </c>
      <c r="B113" s="68" t="s">
        <v>617</v>
      </c>
      <c r="C113" s="28" t="n">
        <v>1</v>
      </c>
      <c r="D113" s="11" t="s">
        <v>479</v>
      </c>
      <c r="E113" s="11" t="s">
        <v>480</v>
      </c>
      <c r="F113" s="11" t="s">
        <v>436</v>
      </c>
      <c r="G113" s="15" t="s">
        <v>481</v>
      </c>
      <c r="H113" s="15"/>
      <c r="I113" s="11" t="n">
        <v>5</v>
      </c>
      <c r="J113" s="11" t="s">
        <v>432</v>
      </c>
      <c r="O113" s="69" t="str">
        <f aca="false">IF(AND(LEN(TRIM($B113&amp;""))&gt;0,LEN(TRIM($P113&amp;""))=0),"PASS","FAIL — "&amp;IF(LEN(TRIM($P113&amp;""))&gt;0,TRIM($P113&amp;""),"line ≠ qty×unit, a required cell empty, or qty/£ non-positive"))</f>
        <v>PASS</v>
      </c>
      <c r="P113" s="70"/>
      <c r="Q113" s="16" t="str">
        <f aca="false">IF(AND(LEN(TRIM(B113&amp;""))&gt;0,TRIM(B113&amp;"")&lt;&gt;"—",LEN(TRIM(C113&amp;""))&gt;0,TRIM(C113&amp;"")&lt;&gt;"—",ISNUMBER(C113),LEN(TRIM(F113&amp;""))&gt;0,TRIM(F113&amp;"")&lt;&gt;"—",LEN(TRIM(I113&amp;""))&gt;0,TRIM(I113&amp;"")&lt;&gt;"—",LEN(TRIM(J113&amp;""))&gt;0,TRIM(J113&amp;"")&lt;&gt;"—",LEN(TRIM(O113&amp;""))&gt;0,TRIM(O113&amp;"")&lt;&gt;"—"),"PASS","⚠ FAIL — "&amp;"a required cell is empty/placeholder or wrong type")</f>
        <v>PASS</v>
      </c>
    </row>
    <row r="114" customFormat="false" ht="15" hidden="true" customHeight="false" outlineLevel="1" collapsed="false">
      <c r="A114" s="11" t="s">
        <v>655</v>
      </c>
      <c r="B114" s="68" t="s">
        <v>619</v>
      </c>
      <c r="C114" s="28" t="n">
        <v>1</v>
      </c>
      <c r="D114" s="11" t="s">
        <v>479</v>
      </c>
      <c r="E114" s="11" t="s">
        <v>480</v>
      </c>
      <c r="F114" s="11" t="s">
        <v>429</v>
      </c>
      <c r="G114" s="15" t="s">
        <v>481</v>
      </c>
      <c r="H114" s="15"/>
      <c r="I114" s="11" t="n">
        <v>4</v>
      </c>
      <c r="J114" s="11" t="s">
        <v>432</v>
      </c>
      <c r="O114" s="69" t="str">
        <f aca="false">IF(AND(LEN(TRIM($B114&amp;""))&gt;0,LEN(TRIM($P114&amp;""))=0),"PASS","FAIL — "&amp;IF(LEN(TRIM($P114&amp;""))&gt;0,TRIM($P114&amp;""),"line ≠ qty×unit, a required cell empty, or qty/£ non-positive"))</f>
        <v>PASS</v>
      </c>
      <c r="P114" s="70"/>
      <c r="Q114" s="16" t="str">
        <f aca="false">IF(AND(LEN(TRIM(B114&amp;""))&gt;0,TRIM(B114&amp;"")&lt;&gt;"—",LEN(TRIM(C114&amp;""))&gt;0,TRIM(C114&amp;"")&lt;&gt;"—",ISNUMBER(C114),LEN(TRIM(F114&amp;""))&gt;0,TRIM(F114&amp;"")&lt;&gt;"—",LEN(TRIM(I114&amp;""))&gt;0,TRIM(I114&amp;"")&lt;&gt;"—",LEN(TRIM(J114&amp;""))&gt;0,TRIM(J114&amp;"")&lt;&gt;"—",LEN(TRIM(O114&amp;""))&gt;0,TRIM(O114&amp;"")&lt;&gt;"—"),"PASS","⚠ FAIL — "&amp;"a required cell is empty/placeholder or wrong type")</f>
        <v>PASS</v>
      </c>
    </row>
    <row r="115" customFormat="false" ht="15" hidden="true" customHeight="false" outlineLevel="1" collapsed="false">
      <c r="A115" s="11" t="s">
        <v>656</v>
      </c>
      <c r="B115" s="68" t="s">
        <v>621</v>
      </c>
      <c r="C115" s="28" t="n">
        <v>1</v>
      </c>
      <c r="D115" s="11" t="s">
        <v>479</v>
      </c>
      <c r="E115" s="11" t="s">
        <v>480</v>
      </c>
      <c r="F115" s="11" t="s">
        <v>436</v>
      </c>
      <c r="G115" s="15" t="s">
        <v>481</v>
      </c>
      <c r="H115" s="15"/>
      <c r="I115" s="11" t="n">
        <v>5</v>
      </c>
      <c r="J115" s="11" t="s">
        <v>432</v>
      </c>
      <c r="O115" s="69" t="str">
        <f aca="false">IF(AND(LEN(TRIM($B115&amp;""))&gt;0,LEN(TRIM($P115&amp;""))=0),"PASS","FAIL — "&amp;IF(LEN(TRIM($P115&amp;""))&gt;0,TRIM($P115&amp;""),"line ≠ qty×unit, a required cell empty, or qty/£ non-positive"))</f>
        <v>PASS</v>
      </c>
      <c r="P115" s="70"/>
      <c r="Q115" s="16" t="str">
        <f aca="false">IF(AND(LEN(TRIM(B115&amp;""))&gt;0,TRIM(B115&amp;"")&lt;&gt;"—",LEN(TRIM(C115&amp;""))&gt;0,TRIM(C115&amp;"")&lt;&gt;"—",ISNUMBER(C115),LEN(TRIM(F115&amp;""))&gt;0,TRIM(F115&amp;"")&lt;&gt;"—",LEN(TRIM(I115&amp;""))&gt;0,TRIM(I115&amp;"")&lt;&gt;"—",LEN(TRIM(J115&amp;""))&gt;0,TRIM(J115&amp;"")&lt;&gt;"—",LEN(TRIM(O115&amp;""))&gt;0,TRIM(O115&amp;"")&lt;&gt;"—"),"PASS","⚠ FAIL — "&amp;"a required cell is empty/placeholder or wrong type")</f>
        <v>PASS</v>
      </c>
    </row>
    <row r="116" customFormat="false" ht="15" hidden="true" customHeight="false" outlineLevel="1" collapsed="false">
      <c r="A116" s="11" t="s">
        <v>657</v>
      </c>
      <c r="B116" s="68" t="s">
        <v>567</v>
      </c>
      <c r="C116" s="28" t="n">
        <v>1</v>
      </c>
      <c r="D116" s="11" t="s">
        <v>479</v>
      </c>
      <c r="E116" s="11" t="s">
        <v>480</v>
      </c>
      <c r="F116" s="11" t="s">
        <v>436</v>
      </c>
      <c r="G116" s="15" t="s">
        <v>481</v>
      </c>
      <c r="H116" s="15"/>
      <c r="I116" s="11" t="n">
        <v>5</v>
      </c>
      <c r="J116" s="11" t="s">
        <v>432</v>
      </c>
      <c r="O116" s="69" t="str">
        <f aca="false">IF(AND(LEN(TRIM($B116&amp;""))&gt;0,LEN(TRIM($P116&amp;""))=0),"PASS","FAIL — "&amp;IF(LEN(TRIM($P116&amp;""))&gt;0,TRIM($P116&amp;""),"line ≠ qty×unit, a required cell empty, or qty/£ non-positive"))</f>
        <v>PASS</v>
      </c>
      <c r="P116" s="70"/>
      <c r="Q116" s="16" t="str">
        <f aca="false">IF(AND(LEN(TRIM(B116&amp;""))&gt;0,TRIM(B116&amp;"")&lt;&gt;"—",LEN(TRIM(C116&amp;""))&gt;0,TRIM(C116&amp;"")&lt;&gt;"—",ISNUMBER(C116),LEN(TRIM(F116&amp;""))&gt;0,TRIM(F116&amp;"")&lt;&gt;"—",LEN(TRIM(I116&amp;""))&gt;0,TRIM(I116&amp;"")&lt;&gt;"—",LEN(TRIM(J116&amp;""))&gt;0,TRIM(J116&amp;"")&lt;&gt;"—",LEN(TRIM(O116&amp;""))&gt;0,TRIM(O116&amp;"")&lt;&gt;"—"),"PASS","⚠ FAIL — "&amp;"a required cell is empty/placeholder or wrong type")</f>
        <v>PASS</v>
      </c>
    </row>
    <row r="117" customFormat="false" ht="15" hidden="true" customHeight="false" outlineLevel="1" collapsed="false">
      <c r="A117" s="11" t="s">
        <v>658</v>
      </c>
      <c r="B117" s="68" t="s">
        <v>499</v>
      </c>
      <c r="C117" s="28" t="n">
        <v>1</v>
      </c>
      <c r="D117" s="11" t="s">
        <v>479</v>
      </c>
      <c r="E117" s="11" t="s">
        <v>480</v>
      </c>
      <c r="F117" s="11" t="s">
        <v>436</v>
      </c>
      <c r="G117" s="15" t="s">
        <v>481</v>
      </c>
      <c r="H117" s="15"/>
      <c r="I117" s="11" t="n">
        <v>5</v>
      </c>
      <c r="J117" s="11" t="s">
        <v>432</v>
      </c>
      <c r="O117" s="69" t="str">
        <f aca="false">IF(AND(LEN(TRIM($B117&amp;""))&gt;0,LEN(TRIM($P117&amp;""))=0),"PASS","FAIL — "&amp;IF(LEN(TRIM($P117&amp;""))&gt;0,TRIM($P117&amp;""),"line ≠ qty×unit, a required cell empty, or qty/£ non-positive"))</f>
        <v>PASS</v>
      </c>
      <c r="P117" s="70"/>
      <c r="Q117" s="16" t="str">
        <f aca="false">IF(AND(LEN(TRIM(B117&amp;""))&gt;0,TRIM(B117&amp;"")&lt;&gt;"—",LEN(TRIM(C117&amp;""))&gt;0,TRIM(C117&amp;"")&lt;&gt;"—",ISNUMBER(C117),LEN(TRIM(F117&amp;""))&gt;0,TRIM(F117&amp;"")&lt;&gt;"—",LEN(TRIM(I117&amp;""))&gt;0,TRIM(I117&amp;"")&lt;&gt;"—",LEN(TRIM(J117&amp;""))&gt;0,TRIM(J117&amp;"")&lt;&gt;"—",LEN(TRIM(O117&amp;""))&gt;0,TRIM(O117&amp;"")&lt;&gt;"—"),"PASS","⚠ FAIL — "&amp;"a required cell is empty/placeholder or wrong type")</f>
        <v>PASS</v>
      </c>
    </row>
    <row r="118" customFormat="false" ht="32.8" hidden="false" customHeight="false" outlineLevel="0" collapsed="true">
      <c r="A118" s="11" t="str">
        <f aca="false">'Part names'!$A$26</f>
        <v>P-104</v>
      </c>
      <c r="B118" s="68" t="str">
        <f aca="false">'Part names'!$B$26 &amp; "  · 2 kW · 600x510x660 mm"</f>
        <v>Drain Transfer Pump  · 2 kW · 600x510x660 mm</v>
      </c>
      <c r="C118" s="28" t="n">
        <v>2</v>
      </c>
      <c r="D118" s="36" t="n">
        <v>1850</v>
      </c>
      <c r="E118" s="36" t="n">
        <v>3700</v>
      </c>
      <c r="F118" s="11" t="s">
        <v>429</v>
      </c>
      <c r="G118" s="15" t="s">
        <v>659</v>
      </c>
      <c r="H118" s="15"/>
      <c r="I118" s="11" t="n">
        <v>4</v>
      </c>
      <c r="J118" s="11" t="s">
        <v>432</v>
      </c>
      <c r="K118" s="15" t="s">
        <v>660</v>
      </c>
      <c r="L118" s="68" t="s">
        <v>512</v>
      </c>
      <c r="M118" s="15" t="s">
        <v>661</v>
      </c>
      <c r="N118" s="71" t="s">
        <v>435</v>
      </c>
      <c r="O118" s="69" t="str">
        <f aca="false">IF(AND(LEN(TRIM($B118&amp;""))&gt;0,ISNUMBER($C118),$C118&gt;0,ISNUMBER($D118),$D118&gt;0,ISNUMBER($E118),$E118&gt;0,ABS($E118-$C118*$D118)&lt;=MAX(1,0.005*ABS($E118)),LEN(TRIM($M118&amp;""))&gt;0,TRIM($M118&amp;"")&lt;&gt;"—",LEN(TRIM($P118&amp;""))=0),"PASS","FAIL — "&amp;IF(LEN(TRIM($P118&amp;""))&gt;0,TRIM($P118&amp;""),"line ≠ qty×unit, a required cell empty, or qty/£ non-positive"))</f>
        <v>PASS</v>
      </c>
      <c r="P118" s="70"/>
      <c r="Q118" s="16" t="str">
        <f aca="false">IF(AND(LEN(TRIM(A118&amp;""))&gt;0,TRIM(A118&amp;"")&lt;&gt;"—",LEN(TRIM(B118&amp;""))&gt;0,TRIM(B118&amp;"")&lt;&gt;"—",LEN(TRIM(C118&amp;""))&gt;0,TRIM(C118&amp;"")&lt;&gt;"—",ISNUMBER(C118),LEN(TRIM(D118&amp;""))&gt;0,TRIM(D118&amp;"")&lt;&gt;"—",ISNUMBER(D118),LEN(TRIM(E118&amp;""))&gt;0,TRIM(E118&amp;"")&lt;&gt;"—",ISNUMBER(E118),LEN(TRIM(F118&amp;""))&gt;0,TRIM(F118&amp;"")&lt;&gt;"—",LEN(TRIM(I118&amp;""))&gt;0,TRIM(I118&amp;"")&lt;&gt;"—",LEN(TRIM(J118&amp;""))&gt;0,TRIM(J118&amp;"")&lt;&gt;"—",LEN(TRIM(O118&amp;""))&gt;0,TRIM(O118&amp;"")&lt;&gt;"—"),"PASS","⚠ FAIL — "&amp;"a required cell is empty/placeholder or wrong type")</f>
        <v>PASS</v>
      </c>
    </row>
    <row r="119" customFormat="false" ht="15" hidden="true" customHeight="false" outlineLevel="1" collapsed="false">
      <c r="A119" s="11" t="s">
        <v>662</v>
      </c>
      <c r="B119" s="68" t="s">
        <v>573</v>
      </c>
      <c r="C119" s="28" t="n">
        <v>1</v>
      </c>
      <c r="D119" s="11" t="s">
        <v>479</v>
      </c>
      <c r="E119" s="11" t="s">
        <v>480</v>
      </c>
      <c r="F119" s="11" t="s">
        <v>436</v>
      </c>
      <c r="G119" s="15" t="s">
        <v>481</v>
      </c>
      <c r="H119" s="15"/>
      <c r="I119" s="11" t="n">
        <v>5</v>
      </c>
      <c r="J119" s="11" t="s">
        <v>432</v>
      </c>
      <c r="O119" s="69" t="str">
        <f aca="false">IF(AND(LEN(TRIM($B119&amp;""))&gt;0,LEN(TRIM($P119&amp;""))=0),"PASS","FAIL — "&amp;IF(LEN(TRIM($P119&amp;""))&gt;0,TRIM($P119&amp;""),"line ≠ qty×unit, a required cell empty, or qty/£ non-positive"))</f>
        <v>PASS</v>
      </c>
      <c r="P119" s="70"/>
      <c r="Q119" s="16" t="str">
        <f aca="false">IF(AND(LEN(TRIM(B119&amp;""))&gt;0,TRIM(B119&amp;"")&lt;&gt;"—",LEN(TRIM(C119&amp;""))&gt;0,TRIM(C119&amp;"")&lt;&gt;"—",ISNUMBER(C119),LEN(TRIM(F119&amp;""))&gt;0,TRIM(F119&amp;"")&lt;&gt;"—",LEN(TRIM(I119&amp;""))&gt;0,TRIM(I119&amp;"")&lt;&gt;"—",LEN(TRIM(J119&amp;""))&gt;0,TRIM(J119&amp;"")&lt;&gt;"—",LEN(TRIM(O119&amp;""))&gt;0,TRIM(O119&amp;"")&lt;&gt;"—"),"PASS","⚠ FAIL — "&amp;"a required cell is empty/placeholder or wrong type")</f>
        <v>PASS</v>
      </c>
    </row>
    <row r="120" customFormat="false" ht="15" hidden="true" customHeight="false" outlineLevel="1" collapsed="false">
      <c r="A120" s="11" t="s">
        <v>663</v>
      </c>
      <c r="B120" s="68" t="s">
        <v>575</v>
      </c>
      <c r="C120" s="28" t="n">
        <v>1</v>
      </c>
      <c r="D120" s="11" t="s">
        <v>479</v>
      </c>
      <c r="E120" s="11" t="s">
        <v>480</v>
      </c>
      <c r="F120" s="11" t="s">
        <v>429</v>
      </c>
      <c r="G120" s="15" t="s">
        <v>481</v>
      </c>
      <c r="H120" s="15"/>
      <c r="I120" s="11" t="n">
        <v>4</v>
      </c>
      <c r="J120" s="11" t="s">
        <v>432</v>
      </c>
      <c r="O120" s="69" t="str">
        <f aca="false">IF(AND(LEN(TRIM($B120&amp;""))&gt;0,LEN(TRIM($P120&amp;""))=0),"PASS","FAIL — "&amp;IF(LEN(TRIM($P120&amp;""))&gt;0,TRIM($P120&amp;""),"line ≠ qty×unit, a required cell empty, or qty/£ non-positive"))</f>
        <v>PASS</v>
      </c>
      <c r="P120" s="70"/>
      <c r="Q120" s="16" t="str">
        <f aca="false">IF(AND(LEN(TRIM(B120&amp;""))&gt;0,TRIM(B120&amp;"")&lt;&gt;"—",LEN(TRIM(C120&amp;""))&gt;0,TRIM(C120&amp;"")&lt;&gt;"—",ISNUMBER(C120),LEN(TRIM(F120&amp;""))&gt;0,TRIM(F120&amp;"")&lt;&gt;"—",LEN(TRIM(I120&amp;""))&gt;0,TRIM(I120&amp;"")&lt;&gt;"—",LEN(TRIM(J120&amp;""))&gt;0,TRIM(J120&amp;"")&lt;&gt;"—",LEN(TRIM(O120&amp;""))&gt;0,TRIM(O120&amp;"")&lt;&gt;"—"),"PASS","⚠ FAIL — "&amp;"a required cell is empty/placeholder or wrong type")</f>
        <v>PASS</v>
      </c>
    </row>
    <row r="121" customFormat="false" ht="15" hidden="true" customHeight="false" outlineLevel="1" collapsed="false">
      <c r="A121" s="11" t="s">
        <v>664</v>
      </c>
      <c r="B121" s="68" t="s">
        <v>665</v>
      </c>
      <c r="C121" s="28" t="n">
        <v>1</v>
      </c>
      <c r="D121" s="11" t="s">
        <v>479</v>
      </c>
      <c r="E121" s="11" t="s">
        <v>480</v>
      </c>
      <c r="F121" s="11" t="s">
        <v>429</v>
      </c>
      <c r="G121" s="15" t="s">
        <v>481</v>
      </c>
      <c r="H121" s="15"/>
      <c r="I121" s="11" t="n">
        <v>4</v>
      </c>
      <c r="J121" s="11" t="s">
        <v>432</v>
      </c>
      <c r="O121" s="69" t="str">
        <f aca="false">IF(AND(LEN(TRIM($B121&amp;""))&gt;0,LEN(TRIM($P121&amp;""))=0),"PASS","FAIL — "&amp;IF(LEN(TRIM($P121&amp;""))&gt;0,TRIM($P121&amp;""),"line ≠ qty×unit, a required cell empty, or qty/£ non-positive"))</f>
        <v>PASS</v>
      </c>
      <c r="P121" s="70"/>
      <c r="Q121" s="16" t="str">
        <f aca="false">IF(AND(LEN(TRIM(B121&amp;""))&gt;0,TRIM(B121&amp;"")&lt;&gt;"—",LEN(TRIM(C121&amp;""))&gt;0,TRIM(C121&amp;"")&lt;&gt;"—",ISNUMBER(C121),LEN(TRIM(F121&amp;""))&gt;0,TRIM(F121&amp;"")&lt;&gt;"—",LEN(TRIM(I121&amp;""))&gt;0,TRIM(I121&amp;"")&lt;&gt;"—",LEN(TRIM(J121&amp;""))&gt;0,TRIM(J121&amp;"")&lt;&gt;"—",LEN(TRIM(O121&amp;""))&gt;0,TRIM(O121&amp;"")&lt;&gt;"—"),"PASS","⚠ FAIL — "&amp;"a required cell is empty/placeholder or wrong type")</f>
        <v>PASS</v>
      </c>
    </row>
    <row r="122" customFormat="false" ht="15" hidden="true" customHeight="false" outlineLevel="1" collapsed="false">
      <c r="A122" s="11" t="s">
        <v>666</v>
      </c>
      <c r="B122" s="68" t="s">
        <v>667</v>
      </c>
      <c r="C122" s="28" t="n">
        <v>1</v>
      </c>
      <c r="D122" s="11" t="s">
        <v>479</v>
      </c>
      <c r="E122" s="11" t="s">
        <v>480</v>
      </c>
      <c r="F122" s="11" t="s">
        <v>421</v>
      </c>
      <c r="G122" s="15"/>
      <c r="H122" s="15" t="s">
        <v>580</v>
      </c>
      <c r="I122" s="11" t="n">
        <v>2</v>
      </c>
      <c r="J122" s="11" t="s">
        <v>423</v>
      </c>
      <c r="O122" s="69" t="str">
        <f aca="false">IF(AND(LEN(TRIM($B122&amp;""))&gt;0,LEN(TRIM($P122&amp;""))=0),"PASS","FAIL — "&amp;IF(LEN(TRIM($P122&amp;""))&gt;0,TRIM($P122&amp;""),"line ≠ qty×unit, a required cell empty, or qty/£ non-positive"))</f>
        <v>PASS</v>
      </c>
      <c r="P122" s="70"/>
      <c r="Q122" s="16" t="str">
        <f aca="false">IF(AND(LEN(TRIM(B122&amp;""))&gt;0,TRIM(B122&amp;"")&lt;&gt;"—",LEN(TRIM(C122&amp;""))&gt;0,TRIM(C122&amp;"")&lt;&gt;"—",ISNUMBER(C122),LEN(TRIM(F122&amp;""))&gt;0,TRIM(F122&amp;"")&lt;&gt;"—",LEN(TRIM(I122&amp;""))&gt;0,TRIM(I122&amp;"")&lt;&gt;"—",LEN(TRIM(J122&amp;""))&gt;0,TRIM(J122&amp;"")&lt;&gt;"—",LEN(TRIM(O122&amp;""))&gt;0,TRIM(O122&amp;"")&lt;&gt;"—"),"PASS","⚠ FAIL — "&amp;"a required cell is empty/placeholder or wrong type")</f>
        <v>PASS</v>
      </c>
    </row>
    <row r="123" customFormat="false" ht="15" hidden="true" customHeight="false" outlineLevel="1" collapsed="false">
      <c r="A123" s="11" t="s">
        <v>668</v>
      </c>
      <c r="B123" s="68" t="s">
        <v>582</v>
      </c>
      <c r="C123" s="28" t="n">
        <v>1</v>
      </c>
      <c r="D123" s="11" t="s">
        <v>479</v>
      </c>
      <c r="E123" s="11" t="s">
        <v>480</v>
      </c>
      <c r="F123" s="11" t="s">
        <v>429</v>
      </c>
      <c r="G123" s="15" t="s">
        <v>481</v>
      </c>
      <c r="H123" s="15"/>
      <c r="I123" s="11" t="n">
        <v>4</v>
      </c>
      <c r="J123" s="11" t="s">
        <v>432</v>
      </c>
      <c r="O123" s="69" t="str">
        <f aca="false">IF(AND(LEN(TRIM($B123&amp;""))&gt;0,LEN(TRIM($P123&amp;""))=0),"PASS","FAIL — "&amp;IF(LEN(TRIM($P123&amp;""))&gt;0,TRIM($P123&amp;""),"line ≠ qty×unit, a required cell empty, or qty/£ non-positive"))</f>
        <v>PASS</v>
      </c>
      <c r="P123" s="70"/>
      <c r="Q123" s="16" t="str">
        <f aca="false">IF(AND(LEN(TRIM(B123&amp;""))&gt;0,TRIM(B123&amp;"")&lt;&gt;"—",LEN(TRIM(C123&amp;""))&gt;0,TRIM(C123&amp;"")&lt;&gt;"—",ISNUMBER(C123),LEN(TRIM(F123&amp;""))&gt;0,TRIM(F123&amp;"")&lt;&gt;"—",LEN(TRIM(I123&amp;""))&gt;0,TRIM(I123&amp;"")&lt;&gt;"—",LEN(TRIM(J123&amp;""))&gt;0,TRIM(J123&amp;"")&lt;&gt;"—",LEN(TRIM(O123&amp;""))&gt;0,TRIM(O123&amp;"")&lt;&gt;"—"),"PASS","⚠ FAIL — "&amp;"a required cell is empty/placeholder or wrong type")</f>
        <v>PASS</v>
      </c>
    </row>
    <row r="124" customFormat="false" ht="15" hidden="true" customHeight="false" outlineLevel="1" collapsed="false">
      <c r="A124" s="11" t="s">
        <v>669</v>
      </c>
      <c r="B124" s="68" t="s">
        <v>584</v>
      </c>
      <c r="C124" s="28" t="n">
        <v>1</v>
      </c>
      <c r="D124" s="11" t="s">
        <v>479</v>
      </c>
      <c r="E124" s="11" t="s">
        <v>480</v>
      </c>
      <c r="F124" s="11" t="s">
        <v>429</v>
      </c>
      <c r="G124" s="15" t="s">
        <v>481</v>
      </c>
      <c r="H124" s="15"/>
      <c r="I124" s="11" t="n">
        <v>4</v>
      </c>
      <c r="J124" s="11" t="s">
        <v>432</v>
      </c>
      <c r="O124" s="69" t="str">
        <f aca="false">IF(AND(LEN(TRIM($B124&amp;""))&gt;0,LEN(TRIM($P124&amp;""))=0),"PASS","FAIL — "&amp;IF(LEN(TRIM($P124&amp;""))&gt;0,TRIM($P124&amp;""),"line ≠ qty×unit, a required cell empty, or qty/£ non-positive"))</f>
        <v>PASS</v>
      </c>
      <c r="P124" s="70"/>
      <c r="Q124" s="16" t="str">
        <f aca="false">IF(AND(LEN(TRIM(B124&amp;""))&gt;0,TRIM(B124&amp;"")&lt;&gt;"—",LEN(TRIM(C124&amp;""))&gt;0,TRIM(C124&amp;"")&lt;&gt;"—",ISNUMBER(C124),LEN(TRIM(F124&amp;""))&gt;0,TRIM(F124&amp;"")&lt;&gt;"—",LEN(TRIM(I124&amp;""))&gt;0,TRIM(I124&amp;"")&lt;&gt;"—",LEN(TRIM(J124&amp;""))&gt;0,TRIM(J124&amp;"")&lt;&gt;"—",LEN(TRIM(O124&amp;""))&gt;0,TRIM(O124&amp;"")&lt;&gt;"—"),"PASS","⚠ FAIL — "&amp;"a required cell is empty/placeholder or wrong type")</f>
        <v>PASS</v>
      </c>
    </row>
    <row r="125" customFormat="false" ht="15" hidden="true" customHeight="false" outlineLevel="1" collapsed="false">
      <c r="A125" s="11" t="s">
        <v>670</v>
      </c>
      <c r="B125" s="68" t="s">
        <v>586</v>
      </c>
      <c r="C125" s="28" t="n">
        <v>1</v>
      </c>
      <c r="D125" s="11" t="s">
        <v>479</v>
      </c>
      <c r="E125" s="11" t="s">
        <v>480</v>
      </c>
      <c r="F125" s="11" t="s">
        <v>436</v>
      </c>
      <c r="G125" s="15" t="s">
        <v>481</v>
      </c>
      <c r="H125" s="15"/>
      <c r="I125" s="11" t="n">
        <v>5</v>
      </c>
      <c r="J125" s="11" t="s">
        <v>432</v>
      </c>
      <c r="O125" s="69" t="str">
        <f aca="false">IF(AND(LEN(TRIM($B125&amp;""))&gt;0,LEN(TRIM($P125&amp;""))=0),"PASS","FAIL — "&amp;IF(LEN(TRIM($P125&amp;""))&gt;0,TRIM($P125&amp;""),"line ≠ qty×unit, a required cell empty, or qty/£ non-positive"))</f>
        <v>PASS</v>
      </c>
      <c r="P125" s="70"/>
      <c r="Q125" s="16" t="str">
        <f aca="false">IF(AND(LEN(TRIM(B125&amp;""))&gt;0,TRIM(B125&amp;"")&lt;&gt;"—",LEN(TRIM(C125&amp;""))&gt;0,TRIM(C125&amp;"")&lt;&gt;"—",ISNUMBER(C125),LEN(TRIM(F125&amp;""))&gt;0,TRIM(F125&amp;"")&lt;&gt;"—",LEN(TRIM(I125&amp;""))&gt;0,TRIM(I125&amp;"")&lt;&gt;"—",LEN(TRIM(J125&amp;""))&gt;0,TRIM(J125&amp;"")&lt;&gt;"—",LEN(TRIM(O125&amp;""))&gt;0,TRIM(O125&amp;"")&lt;&gt;"—"),"PASS","⚠ FAIL — "&amp;"a required cell is empty/placeholder or wrong type")</f>
        <v>PASS</v>
      </c>
    </row>
    <row r="126" customFormat="false" ht="15" hidden="true" customHeight="false" outlineLevel="1" collapsed="false">
      <c r="A126" s="11" t="s">
        <v>671</v>
      </c>
      <c r="B126" s="68" t="s">
        <v>588</v>
      </c>
      <c r="C126" s="28" t="n">
        <v>1</v>
      </c>
      <c r="D126" s="11" t="s">
        <v>479</v>
      </c>
      <c r="E126" s="11" t="s">
        <v>480</v>
      </c>
      <c r="F126" s="11" t="s">
        <v>429</v>
      </c>
      <c r="G126" s="15" t="s">
        <v>481</v>
      </c>
      <c r="H126" s="15"/>
      <c r="I126" s="11" t="n">
        <v>4</v>
      </c>
      <c r="J126" s="11" t="s">
        <v>432</v>
      </c>
      <c r="O126" s="69" t="str">
        <f aca="false">IF(AND(LEN(TRIM($B126&amp;""))&gt;0,LEN(TRIM($P126&amp;""))=0),"PASS","FAIL — "&amp;IF(LEN(TRIM($P126&amp;""))&gt;0,TRIM($P126&amp;""),"line ≠ qty×unit, a required cell empty, or qty/£ non-positive"))</f>
        <v>PASS</v>
      </c>
      <c r="P126" s="70"/>
      <c r="Q126" s="16" t="str">
        <f aca="false">IF(AND(LEN(TRIM(B126&amp;""))&gt;0,TRIM(B126&amp;"")&lt;&gt;"—",LEN(TRIM(C126&amp;""))&gt;0,TRIM(C126&amp;"")&lt;&gt;"—",ISNUMBER(C126),LEN(TRIM(F126&amp;""))&gt;0,TRIM(F126&amp;"")&lt;&gt;"—",LEN(TRIM(I126&amp;""))&gt;0,TRIM(I126&amp;"")&lt;&gt;"—",LEN(TRIM(J126&amp;""))&gt;0,TRIM(J126&amp;"")&lt;&gt;"—",LEN(TRIM(O126&amp;""))&gt;0,TRIM(O126&amp;"")&lt;&gt;"—"),"PASS","⚠ FAIL — "&amp;"a required cell is empty/placeholder or wrong type")</f>
        <v>PASS</v>
      </c>
    </row>
    <row r="127" customFormat="false" ht="15" hidden="true" customHeight="false" outlineLevel="1" collapsed="false">
      <c r="A127" s="11" t="s">
        <v>672</v>
      </c>
      <c r="B127" s="68" t="s">
        <v>590</v>
      </c>
      <c r="C127" s="28" t="n">
        <v>1</v>
      </c>
      <c r="D127" s="11" t="s">
        <v>479</v>
      </c>
      <c r="E127" s="11" t="s">
        <v>480</v>
      </c>
      <c r="F127" s="11" t="s">
        <v>436</v>
      </c>
      <c r="G127" s="15" t="s">
        <v>481</v>
      </c>
      <c r="H127" s="15"/>
      <c r="I127" s="11" t="n">
        <v>5</v>
      </c>
      <c r="J127" s="11" t="s">
        <v>432</v>
      </c>
      <c r="O127" s="69" t="str">
        <f aca="false">IF(AND(LEN(TRIM($B127&amp;""))&gt;0,LEN(TRIM($P127&amp;""))=0),"PASS","FAIL — "&amp;IF(LEN(TRIM($P127&amp;""))&gt;0,TRIM($P127&amp;""),"line ≠ qty×unit, a required cell empty, or qty/£ non-positive"))</f>
        <v>PASS</v>
      </c>
      <c r="P127" s="70"/>
      <c r="Q127" s="16" t="str">
        <f aca="false">IF(AND(LEN(TRIM(B127&amp;""))&gt;0,TRIM(B127&amp;"")&lt;&gt;"—",LEN(TRIM(C127&amp;""))&gt;0,TRIM(C127&amp;"")&lt;&gt;"—",ISNUMBER(C127),LEN(TRIM(F127&amp;""))&gt;0,TRIM(F127&amp;"")&lt;&gt;"—",LEN(TRIM(I127&amp;""))&gt;0,TRIM(I127&amp;"")&lt;&gt;"—",LEN(TRIM(J127&amp;""))&gt;0,TRIM(J127&amp;"")&lt;&gt;"—",LEN(TRIM(O127&amp;""))&gt;0,TRIM(O127&amp;"")&lt;&gt;"—"),"PASS","⚠ FAIL — "&amp;"a required cell is empty/placeholder or wrong type")</f>
        <v>PASS</v>
      </c>
    </row>
    <row r="128" customFormat="false" ht="15" hidden="true" customHeight="false" outlineLevel="1" collapsed="false">
      <c r="A128" s="11" t="s">
        <v>673</v>
      </c>
      <c r="B128" s="68" t="s">
        <v>592</v>
      </c>
      <c r="C128" s="28" t="n">
        <v>1</v>
      </c>
      <c r="D128" s="11" t="s">
        <v>479</v>
      </c>
      <c r="E128" s="11" t="s">
        <v>480</v>
      </c>
      <c r="F128" s="11" t="s">
        <v>436</v>
      </c>
      <c r="G128" s="15" t="s">
        <v>481</v>
      </c>
      <c r="H128" s="15"/>
      <c r="I128" s="11" t="n">
        <v>5</v>
      </c>
      <c r="J128" s="11" t="s">
        <v>432</v>
      </c>
      <c r="O128" s="69" t="str">
        <f aca="false">IF(AND(LEN(TRIM($B128&amp;""))&gt;0,LEN(TRIM($P128&amp;""))=0),"PASS","FAIL — "&amp;IF(LEN(TRIM($P128&amp;""))&gt;0,TRIM($P128&amp;""),"line ≠ qty×unit, a required cell empty, or qty/£ non-positive"))</f>
        <v>PASS</v>
      </c>
      <c r="P128" s="70"/>
      <c r="Q128" s="16" t="str">
        <f aca="false">IF(AND(LEN(TRIM(B128&amp;""))&gt;0,TRIM(B128&amp;"")&lt;&gt;"—",LEN(TRIM(C128&amp;""))&gt;0,TRIM(C128&amp;"")&lt;&gt;"—",ISNUMBER(C128),LEN(TRIM(F128&amp;""))&gt;0,TRIM(F128&amp;"")&lt;&gt;"—",LEN(TRIM(I128&amp;""))&gt;0,TRIM(I128&amp;"")&lt;&gt;"—",LEN(TRIM(J128&amp;""))&gt;0,TRIM(J128&amp;"")&lt;&gt;"—",LEN(TRIM(O128&amp;""))&gt;0,TRIM(O128&amp;"")&lt;&gt;"—"),"PASS","⚠ FAIL — "&amp;"a required cell is empty/placeholder or wrong type")</f>
        <v>PASS</v>
      </c>
    </row>
    <row r="129" customFormat="false" ht="15" hidden="true" customHeight="false" outlineLevel="1" collapsed="false">
      <c r="A129" s="11" t="s">
        <v>674</v>
      </c>
      <c r="B129" s="68" t="s">
        <v>594</v>
      </c>
      <c r="C129" s="28" t="n">
        <v>1</v>
      </c>
      <c r="D129" s="11" t="s">
        <v>479</v>
      </c>
      <c r="E129" s="11" t="s">
        <v>480</v>
      </c>
      <c r="F129" s="11" t="s">
        <v>436</v>
      </c>
      <c r="G129" s="15" t="s">
        <v>481</v>
      </c>
      <c r="H129" s="15"/>
      <c r="I129" s="11" t="n">
        <v>5</v>
      </c>
      <c r="J129" s="11" t="s">
        <v>432</v>
      </c>
      <c r="O129" s="69" t="str">
        <f aca="false">IF(AND(LEN(TRIM($B129&amp;""))&gt;0,LEN(TRIM($P129&amp;""))=0),"PASS","FAIL — "&amp;IF(LEN(TRIM($P129&amp;""))&gt;0,TRIM($P129&amp;""),"line ≠ qty×unit, a required cell empty, or qty/£ non-positive"))</f>
        <v>PASS</v>
      </c>
      <c r="P129" s="70"/>
      <c r="Q129" s="16" t="str">
        <f aca="false">IF(AND(LEN(TRIM(B129&amp;""))&gt;0,TRIM(B129&amp;"")&lt;&gt;"—",LEN(TRIM(C129&amp;""))&gt;0,TRIM(C129&amp;"")&lt;&gt;"—",ISNUMBER(C129),LEN(TRIM(F129&amp;""))&gt;0,TRIM(F129&amp;"")&lt;&gt;"—",LEN(TRIM(I129&amp;""))&gt;0,TRIM(I129&amp;"")&lt;&gt;"—",LEN(TRIM(J129&amp;""))&gt;0,TRIM(J129&amp;"")&lt;&gt;"—",LEN(TRIM(O129&amp;""))&gt;0,TRIM(O129&amp;"")&lt;&gt;"—"),"PASS","⚠ FAIL — "&amp;"a required cell is empty/placeholder or wrong type")</f>
        <v>PASS</v>
      </c>
    </row>
    <row r="130" customFormat="false" ht="15" hidden="true" customHeight="false" outlineLevel="1" collapsed="false">
      <c r="A130" s="11" t="s">
        <v>675</v>
      </c>
      <c r="B130" s="68" t="s">
        <v>596</v>
      </c>
      <c r="C130" s="28" t="n">
        <v>1</v>
      </c>
      <c r="D130" s="11" t="s">
        <v>479</v>
      </c>
      <c r="E130" s="11" t="s">
        <v>480</v>
      </c>
      <c r="F130" s="11" t="s">
        <v>436</v>
      </c>
      <c r="G130" s="15" t="s">
        <v>481</v>
      </c>
      <c r="H130" s="15"/>
      <c r="I130" s="11" t="n">
        <v>5</v>
      </c>
      <c r="J130" s="11" t="s">
        <v>432</v>
      </c>
      <c r="O130" s="69" t="str">
        <f aca="false">IF(AND(LEN(TRIM($B130&amp;""))&gt;0,LEN(TRIM($P130&amp;""))=0),"PASS","FAIL — "&amp;IF(LEN(TRIM($P130&amp;""))&gt;0,TRIM($P130&amp;""),"line ≠ qty×unit, a required cell empty, or qty/£ non-positive"))</f>
        <v>PASS</v>
      </c>
      <c r="P130" s="70"/>
      <c r="Q130" s="16" t="str">
        <f aca="false">IF(AND(LEN(TRIM(B130&amp;""))&gt;0,TRIM(B130&amp;"")&lt;&gt;"—",LEN(TRIM(C130&amp;""))&gt;0,TRIM(C130&amp;"")&lt;&gt;"—",ISNUMBER(C130),LEN(TRIM(F130&amp;""))&gt;0,TRIM(F130&amp;"")&lt;&gt;"—",LEN(TRIM(I130&amp;""))&gt;0,TRIM(I130&amp;"")&lt;&gt;"—",LEN(TRIM(J130&amp;""))&gt;0,TRIM(J130&amp;"")&lt;&gt;"—",LEN(TRIM(O130&amp;""))&gt;0,TRIM(O130&amp;"")&lt;&gt;"—"),"PASS","⚠ FAIL — "&amp;"a required cell is empty/placeholder or wrong type")</f>
        <v>PASS</v>
      </c>
    </row>
    <row r="131" customFormat="false" ht="15" hidden="true" customHeight="false" outlineLevel="1" collapsed="false">
      <c r="A131" s="11" t="s">
        <v>676</v>
      </c>
      <c r="B131" s="68" t="s">
        <v>598</v>
      </c>
      <c r="C131" s="28" t="n">
        <v>1</v>
      </c>
      <c r="D131" s="11" t="s">
        <v>479</v>
      </c>
      <c r="E131" s="11" t="s">
        <v>480</v>
      </c>
      <c r="F131" s="11" t="s">
        <v>436</v>
      </c>
      <c r="G131" s="15" t="s">
        <v>481</v>
      </c>
      <c r="H131" s="15"/>
      <c r="I131" s="11" t="n">
        <v>5</v>
      </c>
      <c r="J131" s="11" t="s">
        <v>432</v>
      </c>
      <c r="O131" s="69" t="str">
        <f aca="false">IF(AND(LEN(TRIM($B131&amp;""))&gt;0,LEN(TRIM($P131&amp;""))=0),"PASS","FAIL — "&amp;IF(LEN(TRIM($P131&amp;""))&gt;0,TRIM($P131&amp;""),"line ≠ qty×unit, a required cell empty, or qty/£ non-positive"))</f>
        <v>PASS</v>
      </c>
      <c r="P131" s="70"/>
      <c r="Q131" s="16" t="str">
        <f aca="false">IF(AND(LEN(TRIM(B131&amp;""))&gt;0,TRIM(B131&amp;"")&lt;&gt;"—",LEN(TRIM(C131&amp;""))&gt;0,TRIM(C131&amp;"")&lt;&gt;"—",ISNUMBER(C131),LEN(TRIM(F131&amp;""))&gt;0,TRIM(F131&amp;"")&lt;&gt;"—",LEN(TRIM(I131&amp;""))&gt;0,TRIM(I131&amp;"")&lt;&gt;"—",LEN(TRIM(J131&amp;""))&gt;0,TRIM(J131&amp;"")&lt;&gt;"—",LEN(TRIM(O131&amp;""))&gt;0,TRIM(O131&amp;"")&lt;&gt;"—"),"PASS","⚠ FAIL — "&amp;"a required cell is empty/placeholder or wrong type")</f>
        <v>PASS</v>
      </c>
    </row>
    <row r="132" customFormat="false" ht="32.8" hidden="false" customHeight="false" outlineLevel="0" collapsed="true">
      <c r="A132" s="11" t="str">
        <f aca="false">'Part names'!$A$16</f>
        <v>V-103</v>
      </c>
      <c r="B132" s="68" t="str">
        <f aca="false">'Part names'!$B$16 &amp; "  · 80 m³/h · 3 m² area"</f>
        <v>Cloth Filter  · 80 m³/h · 3 m² area</v>
      </c>
      <c r="C132" s="28" t="n">
        <v>2</v>
      </c>
      <c r="D132" s="36" t="n">
        <v>8270</v>
      </c>
      <c r="E132" s="36" t="n">
        <v>16540</v>
      </c>
      <c r="F132" s="11" t="s">
        <v>436</v>
      </c>
      <c r="G132" s="15" t="s">
        <v>677</v>
      </c>
      <c r="H132" s="15" t="s">
        <v>678</v>
      </c>
      <c r="I132" s="11" t="n">
        <v>5</v>
      </c>
      <c r="J132" s="11" t="s">
        <v>432</v>
      </c>
      <c r="K132" s="15" t="s">
        <v>679</v>
      </c>
      <c r="L132" s="68" t="s">
        <v>680</v>
      </c>
      <c r="M132" s="15" t="s">
        <v>681</v>
      </c>
      <c r="N132" s="68" t="s">
        <v>476</v>
      </c>
      <c r="O132" s="69" t="str">
        <f aca="false">IF(AND(LEN(TRIM($B132&amp;""))&gt;0,ISNUMBER($C132),$C132&gt;0,ISNUMBER($D132),$D132&gt;0,ISNUMBER($E132),$E132&gt;0,ABS($E132-$C132*$D132)&lt;=MAX(1,0.005*ABS($E132)),LEN(TRIM($M132&amp;""))&gt;0,TRIM($M132&amp;"")&lt;&gt;"—",LEN(TRIM($P132&amp;""))=0),"PASS","FAIL — "&amp;IF(LEN(TRIM($P132&amp;""))&gt;0,TRIM($P132&amp;""),"line ≠ qty×unit, a required cell empty, or qty/£ non-positive"))</f>
        <v>PASS</v>
      </c>
      <c r="P132" s="70"/>
      <c r="Q132" s="16" t="str">
        <f aca="false">IF(AND(LEN(TRIM(A132&amp;""))&gt;0,TRIM(A132&amp;"")&lt;&gt;"—",LEN(TRIM(B132&amp;""))&gt;0,TRIM(B132&amp;"")&lt;&gt;"—",LEN(TRIM(C132&amp;""))&gt;0,TRIM(C132&amp;"")&lt;&gt;"—",ISNUMBER(C132),LEN(TRIM(D132&amp;""))&gt;0,TRIM(D132&amp;"")&lt;&gt;"—",ISNUMBER(D132),LEN(TRIM(E132&amp;""))&gt;0,TRIM(E132&amp;"")&lt;&gt;"—",ISNUMBER(E132),LEN(TRIM(F132&amp;""))&gt;0,TRIM(F132&amp;"")&lt;&gt;"—",LEN(TRIM(I132&amp;""))&gt;0,TRIM(I132&amp;"")&lt;&gt;"—",LEN(TRIM(J132&amp;""))&gt;0,TRIM(J132&amp;"")&lt;&gt;"—",LEN(TRIM(O132&amp;""))&gt;0,TRIM(O132&amp;"")&lt;&gt;"—"),"PASS","⚠ FAIL — "&amp;"a required cell is empty/placeholder or wrong type")</f>
        <v>PASS</v>
      </c>
    </row>
    <row r="133" customFormat="false" ht="15" hidden="true" customHeight="false" outlineLevel="1" collapsed="false">
      <c r="A133" s="11" t="s">
        <v>682</v>
      </c>
      <c r="B133" s="68" t="s">
        <v>683</v>
      </c>
      <c r="C133" s="28" t="n">
        <v>1</v>
      </c>
      <c r="D133" s="11" t="s">
        <v>479</v>
      </c>
      <c r="E133" s="11" t="s">
        <v>480</v>
      </c>
      <c r="F133" s="11" t="s">
        <v>436</v>
      </c>
      <c r="G133" s="15" t="s">
        <v>481</v>
      </c>
      <c r="H133" s="15"/>
      <c r="I133" s="11" t="n">
        <v>5</v>
      </c>
      <c r="J133" s="11" t="s">
        <v>432</v>
      </c>
      <c r="O133" s="69" t="str">
        <f aca="false">IF(AND(LEN(TRIM($B133&amp;""))&gt;0,LEN(TRIM($P133&amp;""))=0),"PASS","FAIL — "&amp;IF(LEN(TRIM($P133&amp;""))&gt;0,TRIM($P133&amp;""),"line ≠ qty×unit, a required cell empty, or qty/£ non-positive"))</f>
        <v>PASS</v>
      </c>
      <c r="P133" s="70"/>
      <c r="Q133" s="16" t="str">
        <f aca="false">IF(AND(LEN(TRIM(B133&amp;""))&gt;0,TRIM(B133&amp;"")&lt;&gt;"—",LEN(TRIM(C133&amp;""))&gt;0,TRIM(C133&amp;"")&lt;&gt;"—",ISNUMBER(C133),LEN(TRIM(F133&amp;""))&gt;0,TRIM(F133&amp;"")&lt;&gt;"—",LEN(TRIM(I133&amp;""))&gt;0,TRIM(I133&amp;"")&lt;&gt;"—",LEN(TRIM(J133&amp;""))&gt;0,TRIM(J133&amp;"")&lt;&gt;"—",LEN(TRIM(O133&amp;""))&gt;0,TRIM(O133&amp;"")&lt;&gt;"—"),"PASS","⚠ FAIL — "&amp;"a required cell is empty/placeholder or wrong type")</f>
        <v>PASS</v>
      </c>
    </row>
    <row r="134" customFormat="false" ht="15" hidden="true" customHeight="false" outlineLevel="1" collapsed="false">
      <c r="A134" s="11" t="s">
        <v>684</v>
      </c>
      <c r="B134" s="68" t="s">
        <v>685</v>
      </c>
      <c r="C134" s="28" t="n">
        <v>1</v>
      </c>
      <c r="D134" s="11" t="s">
        <v>479</v>
      </c>
      <c r="E134" s="11" t="s">
        <v>480</v>
      </c>
      <c r="F134" s="11" t="s">
        <v>429</v>
      </c>
      <c r="G134" s="15" t="s">
        <v>481</v>
      </c>
      <c r="H134" s="15"/>
      <c r="I134" s="11" t="n">
        <v>4</v>
      </c>
      <c r="J134" s="11" t="s">
        <v>432</v>
      </c>
      <c r="O134" s="69" t="str">
        <f aca="false">IF(AND(LEN(TRIM($B134&amp;""))&gt;0,LEN(TRIM($P134&amp;""))=0),"PASS","FAIL — "&amp;IF(LEN(TRIM($P134&amp;""))&gt;0,TRIM($P134&amp;""),"line ≠ qty×unit, a required cell empty, or qty/£ non-positive"))</f>
        <v>PASS</v>
      </c>
      <c r="P134" s="70"/>
      <c r="Q134" s="16" t="str">
        <f aca="false">IF(AND(LEN(TRIM(B134&amp;""))&gt;0,TRIM(B134&amp;"")&lt;&gt;"—",LEN(TRIM(C134&amp;""))&gt;0,TRIM(C134&amp;"")&lt;&gt;"—",ISNUMBER(C134),LEN(TRIM(F134&amp;""))&gt;0,TRIM(F134&amp;"")&lt;&gt;"—",LEN(TRIM(I134&amp;""))&gt;0,TRIM(I134&amp;"")&lt;&gt;"—",LEN(TRIM(J134&amp;""))&gt;0,TRIM(J134&amp;"")&lt;&gt;"—",LEN(TRIM(O134&amp;""))&gt;0,TRIM(O134&amp;"")&lt;&gt;"—"),"PASS","⚠ FAIL — "&amp;"a required cell is empty/placeholder or wrong type")</f>
        <v>PASS</v>
      </c>
    </row>
    <row r="135" customFormat="false" ht="15" hidden="true" customHeight="false" outlineLevel="1" collapsed="false">
      <c r="A135" s="11" t="s">
        <v>686</v>
      </c>
      <c r="B135" s="68" t="s">
        <v>687</v>
      </c>
      <c r="C135" s="28" t="n">
        <v>1</v>
      </c>
      <c r="D135" s="11" t="s">
        <v>479</v>
      </c>
      <c r="E135" s="11" t="s">
        <v>480</v>
      </c>
      <c r="F135" s="11" t="s">
        <v>436</v>
      </c>
      <c r="G135" s="15" t="s">
        <v>481</v>
      </c>
      <c r="H135" s="15"/>
      <c r="I135" s="11" t="n">
        <v>5</v>
      </c>
      <c r="J135" s="11" t="s">
        <v>432</v>
      </c>
      <c r="O135" s="69" t="str">
        <f aca="false">IF(AND(LEN(TRIM($B135&amp;""))&gt;0,LEN(TRIM($P135&amp;""))=0),"PASS","FAIL — "&amp;IF(LEN(TRIM($P135&amp;""))&gt;0,TRIM($P135&amp;""),"line ≠ qty×unit, a required cell empty, or qty/£ non-positive"))</f>
        <v>PASS</v>
      </c>
      <c r="P135" s="70"/>
      <c r="Q135" s="16" t="str">
        <f aca="false">IF(AND(LEN(TRIM(B135&amp;""))&gt;0,TRIM(B135&amp;"")&lt;&gt;"—",LEN(TRIM(C135&amp;""))&gt;0,TRIM(C135&amp;"")&lt;&gt;"—",ISNUMBER(C135),LEN(TRIM(F135&amp;""))&gt;0,TRIM(F135&amp;"")&lt;&gt;"—",LEN(TRIM(I135&amp;""))&gt;0,TRIM(I135&amp;"")&lt;&gt;"—",LEN(TRIM(J135&amp;""))&gt;0,TRIM(J135&amp;"")&lt;&gt;"—",LEN(TRIM(O135&amp;""))&gt;0,TRIM(O135&amp;"")&lt;&gt;"—"),"PASS","⚠ FAIL — "&amp;"a required cell is empty/placeholder or wrong type")</f>
        <v>PASS</v>
      </c>
    </row>
    <row r="136" customFormat="false" ht="15" hidden="true" customHeight="false" outlineLevel="1" collapsed="false">
      <c r="A136" s="11" t="s">
        <v>688</v>
      </c>
      <c r="B136" s="68" t="s">
        <v>689</v>
      </c>
      <c r="C136" s="28" t="n">
        <v>1</v>
      </c>
      <c r="D136" s="11" t="s">
        <v>479</v>
      </c>
      <c r="E136" s="11" t="s">
        <v>480</v>
      </c>
      <c r="F136" s="11" t="s">
        <v>429</v>
      </c>
      <c r="G136" s="15" t="s">
        <v>481</v>
      </c>
      <c r="H136" s="15"/>
      <c r="I136" s="11" t="n">
        <v>4</v>
      </c>
      <c r="J136" s="11" t="s">
        <v>432</v>
      </c>
      <c r="O136" s="69" t="str">
        <f aca="false">IF(AND(LEN(TRIM($B136&amp;""))&gt;0,LEN(TRIM($P136&amp;""))=0),"PASS","FAIL — "&amp;IF(LEN(TRIM($P136&amp;""))&gt;0,TRIM($P136&amp;""),"line ≠ qty×unit, a required cell empty, or qty/£ non-positive"))</f>
        <v>PASS</v>
      </c>
      <c r="P136" s="70"/>
      <c r="Q136" s="16" t="str">
        <f aca="false">IF(AND(LEN(TRIM(B136&amp;""))&gt;0,TRIM(B136&amp;"")&lt;&gt;"—",LEN(TRIM(C136&amp;""))&gt;0,TRIM(C136&amp;"")&lt;&gt;"—",ISNUMBER(C136),LEN(TRIM(F136&amp;""))&gt;0,TRIM(F136&amp;"")&lt;&gt;"—",LEN(TRIM(I136&amp;""))&gt;0,TRIM(I136&amp;"")&lt;&gt;"—",LEN(TRIM(J136&amp;""))&gt;0,TRIM(J136&amp;"")&lt;&gt;"—",LEN(TRIM(O136&amp;""))&gt;0,TRIM(O136&amp;"")&lt;&gt;"—"),"PASS","⚠ FAIL — "&amp;"a required cell is empty/placeholder or wrong type")</f>
        <v>PASS</v>
      </c>
    </row>
    <row r="137" customFormat="false" ht="15" hidden="true" customHeight="false" outlineLevel="1" collapsed="false">
      <c r="A137" s="11" t="s">
        <v>690</v>
      </c>
      <c r="B137" s="68" t="s">
        <v>691</v>
      </c>
      <c r="C137" s="28" t="n">
        <v>1</v>
      </c>
      <c r="D137" s="11" t="s">
        <v>479</v>
      </c>
      <c r="E137" s="11" t="s">
        <v>480</v>
      </c>
      <c r="F137" s="11" t="s">
        <v>429</v>
      </c>
      <c r="G137" s="15" t="s">
        <v>481</v>
      </c>
      <c r="H137" s="15"/>
      <c r="I137" s="11" t="n">
        <v>4</v>
      </c>
      <c r="J137" s="11" t="s">
        <v>432</v>
      </c>
      <c r="O137" s="69" t="str">
        <f aca="false">IF(AND(LEN(TRIM($B137&amp;""))&gt;0,LEN(TRIM($P137&amp;""))=0),"PASS","FAIL — "&amp;IF(LEN(TRIM($P137&amp;""))&gt;0,TRIM($P137&amp;""),"line ≠ qty×unit, a required cell empty, or qty/£ non-positive"))</f>
        <v>PASS</v>
      </c>
      <c r="P137" s="70"/>
      <c r="Q137" s="16" t="str">
        <f aca="false">IF(AND(LEN(TRIM(B137&amp;""))&gt;0,TRIM(B137&amp;"")&lt;&gt;"—",LEN(TRIM(C137&amp;""))&gt;0,TRIM(C137&amp;"")&lt;&gt;"—",ISNUMBER(C137),LEN(TRIM(F137&amp;""))&gt;0,TRIM(F137&amp;"")&lt;&gt;"—",LEN(TRIM(I137&amp;""))&gt;0,TRIM(I137&amp;"")&lt;&gt;"—",LEN(TRIM(J137&amp;""))&gt;0,TRIM(J137&amp;"")&lt;&gt;"—",LEN(TRIM(O137&amp;""))&gt;0,TRIM(O137&amp;"")&lt;&gt;"—"),"PASS","⚠ FAIL — "&amp;"a required cell is empty/placeholder or wrong type")</f>
        <v>PASS</v>
      </c>
    </row>
    <row r="138" customFormat="false" ht="15" hidden="true" customHeight="false" outlineLevel="1" collapsed="false">
      <c r="A138" s="11" t="s">
        <v>692</v>
      </c>
      <c r="B138" s="68" t="s">
        <v>693</v>
      </c>
      <c r="C138" s="28" t="n">
        <v>1</v>
      </c>
      <c r="D138" s="11" t="s">
        <v>479</v>
      </c>
      <c r="E138" s="11" t="s">
        <v>480</v>
      </c>
      <c r="F138" s="11" t="s">
        <v>436</v>
      </c>
      <c r="G138" s="15" t="s">
        <v>481</v>
      </c>
      <c r="H138" s="15"/>
      <c r="I138" s="11" t="n">
        <v>5</v>
      </c>
      <c r="J138" s="11" t="s">
        <v>432</v>
      </c>
      <c r="O138" s="69" t="str">
        <f aca="false">IF(AND(LEN(TRIM($B138&amp;""))&gt;0,LEN(TRIM($P138&amp;""))=0),"PASS","FAIL — "&amp;IF(LEN(TRIM($P138&amp;""))&gt;0,TRIM($P138&amp;""),"line ≠ qty×unit, a required cell empty, or qty/£ non-positive"))</f>
        <v>PASS</v>
      </c>
      <c r="P138" s="70"/>
      <c r="Q138" s="16" t="str">
        <f aca="false">IF(AND(LEN(TRIM(B138&amp;""))&gt;0,TRIM(B138&amp;"")&lt;&gt;"—",LEN(TRIM(C138&amp;""))&gt;0,TRIM(C138&amp;"")&lt;&gt;"—",ISNUMBER(C138),LEN(TRIM(F138&amp;""))&gt;0,TRIM(F138&amp;"")&lt;&gt;"—",LEN(TRIM(I138&amp;""))&gt;0,TRIM(I138&amp;"")&lt;&gt;"—",LEN(TRIM(J138&amp;""))&gt;0,TRIM(J138&amp;"")&lt;&gt;"—",LEN(TRIM(O138&amp;""))&gt;0,TRIM(O138&amp;"")&lt;&gt;"—"),"PASS","⚠ FAIL — "&amp;"a required cell is empty/placeholder or wrong type")</f>
        <v>PASS</v>
      </c>
    </row>
    <row r="139" customFormat="false" ht="15" hidden="true" customHeight="false" outlineLevel="1" collapsed="false">
      <c r="A139" s="11" t="s">
        <v>694</v>
      </c>
      <c r="B139" s="68" t="s">
        <v>695</v>
      </c>
      <c r="C139" s="28" t="n">
        <v>1</v>
      </c>
      <c r="D139" s="11" t="s">
        <v>479</v>
      </c>
      <c r="E139" s="11" t="s">
        <v>480</v>
      </c>
      <c r="F139" s="11" t="s">
        <v>429</v>
      </c>
      <c r="G139" s="15" t="s">
        <v>481</v>
      </c>
      <c r="H139" s="15"/>
      <c r="I139" s="11" t="n">
        <v>4</v>
      </c>
      <c r="J139" s="11" t="s">
        <v>453</v>
      </c>
      <c r="O139" s="69" t="str">
        <f aca="false">IF(AND(LEN(TRIM($B139&amp;""))&gt;0,LEN(TRIM($P139&amp;""))=0),"PASS","FAIL — "&amp;IF(LEN(TRIM($P139&amp;""))&gt;0,TRIM($P139&amp;""),"line ≠ qty×unit, a required cell empty, or qty/£ non-positive"))</f>
        <v>PASS</v>
      </c>
      <c r="P139" s="70"/>
      <c r="Q139" s="16" t="str">
        <f aca="false">IF(AND(LEN(TRIM(B139&amp;""))&gt;0,TRIM(B139&amp;"")&lt;&gt;"—",LEN(TRIM(C139&amp;""))&gt;0,TRIM(C139&amp;"")&lt;&gt;"—",ISNUMBER(C139),LEN(TRIM(F139&amp;""))&gt;0,TRIM(F139&amp;"")&lt;&gt;"—",LEN(TRIM(I139&amp;""))&gt;0,TRIM(I139&amp;"")&lt;&gt;"—",LEN(TRIM(J139&amp;""))&gt;0,TRIM(J139&amp;"")&lt;&gt;"—",LEN(TRIM(O139&amp;""))&gt;0,TRIM(O139&amp;"")&lt;&gt;"—"),"PASS","⚠ FAIL — "&amp;"a required cell is empty/placeholder or wrong type")</f>
        <v>PASS</v>
      </c>
    </row>
    <row r="140" customFormat="false" ht="15" hidden="true" customHeight="false" outlineLevel="1" collapsed="false">
      <c r="A140" s="11" t="s">
        <v>696</v>
      </c>
      <c r="B140" s="68" t="s">
        <v>697</v>
      </c>
      <c r="C140" s="28" t="n">
        <v>1</v>
      </c>
      <c r="D140" s="11" t="s">
        <v>479</v>
      </c>
      <c r="E140" s="11" t="s">
        <v>480</v>
      </c>
      <c r="F140" s="11" t="s">
        <v>429</v>
      </c>
      <c r="G140" s="15" t="s">
        <v>481</v>
      </c>
      <c r="H140" s="15"/>
      <c r="I140" s="11" t="n">
        <v>4</v>
      </c>
      <c r="J140" s="11" t="s">
        <v>432</v>
      </c>
      <c r="O140" s="69" t="str">
        <f aca="false">IF(AND(LEN(TRIM($B140&amp;""))&gt;0,LEN(TRIM($P140&amp;""))=0),"PASS","FAIL — "&amp;IF(LEN(TRIM($P140&amp;""))&gt;0,TRIM($P140&amp;""),"line ≠ qty×unit, a required cell empty, or qty/£ non-positive"))</f>
        <v>PASS</v>
      </c>
      <c r="P140" s="70"/>
      <c r="Q140" s="16" t="str">
        <f aca="false">IF(AND(LEN(TRIM(B140&amp;""))&gt;0,TRIM(B140&amp;"")&lt;&gt;"—",LEN(TRIM(C140&amp;""))&gt;0,TRIM(C140&amp;"")&lt;&gt;"—",ISNUMBER(C140),LEN(TRIM(F140&amp;""))&gt;0,TRIM(F140&amp;"")&lt;&gt;"—",LEN(TRIM(I140&amp;""))&gt;0,TRIM(I140&amp;"")&lt;&gt;"—",LEN(TRIM(J140&amp;""))&gt;0,TRIM(J140&amp;"")&lt;&gt;"—",LEN(TRIM(O140&amp;""))&gt;0,TRIM(O140&amp;"")&lt;&gt;"—"),"PASS","⚠ FAIL — "&amp;"a required cell is empty/placeholder or wrong type")</f>
        <v>PASS</v>
      </c>
    </row>
    <row r="141" customFormat="false" ht="15" hidden="true" customHeight="false" outlineLevel="1" collapsed="false">
      <c r="A141" s="11" t="s">
        <v>698</v>
      </c>
      <c r="B141" s="68" t="s">
        <v>699</v>
      </c>
      <c r="C141" s="28" t="n">
        <v>1</v>
      </c>
      <c r="D141" s="11" t="s">
        <v>479</v>
      </c>
      <c r="E141" s="11" t="s">
        <v>480</v>
      </c>
      <c r="F141" s="11" t="s">
        <v>429</v>
      </c>
      <c r="G141" s="15" t="s">
        <v>481</v>
      </c>
      <c r="H141" s="15"/>
      <c r="I141" s="11" t="n">
        <v>4</v>
      </c>
      <c r="J141" s="11" t="s">
        <v>432</v>
      </c>
      <c r="O141" s="69" t="str">
        <f aca="false">IF(AND(LEN(TRIM($B141&amp;""))&gt;0,LEN(TRIM($P141&amp;""))=0),"PASS","FAIL — "&amp;IF(LEN(TRIM($P141&amp;""))&gt;0,TRIM($P141&amp;""),"line ≠ qty×unit, a required cell empty, or qty/£ non-positive"))</f>
        <v>PASS</v>
      </c>
      <c r="P141" s="70"/>
      <c r="Q141" s="16" t="str">
        <f aca="false">IF(AND(LEN(TRIM(B141&amp;""))&gt;0,TRIM(B141&amp;"")&lt;&gt;"—",LEN(TRIM(C141&amp;""))&gt;0,TRIM(C141&amp;"")&lt;&gt;"—",ISNUMBER(C141),LEN(TRIM(F141&amp;""))&gt;0,TRIM(F141&amp;"")&lt;&gt;"—",LEN(TRIM(I141&amp;""))&gt;0,TRIM(I141&amp;"")&lt;&gt;"—",LEN(TRIM(J141&amp;""))&gt;0,TRIM(J141&amp;"")&lt;&gt;"—",LEN(TRIM(O141&amp;""))&gt;0,TRIM(O141&amp;"")&lt;&gt;"—"),"PASS","⚠ FAIL — "&amp;"a required cell is empty/placeholder or wrong type")</f>
        <v>PASS</v>
      </c>
    </row>
    <row r="142" customFormat="false" ht="32.8" hidden="false" customHeight="false" outlineLevel="0" collapsed="true">
      <c r="A142" s="11" t="str">
        <f aca="false">'Part names'!$A$38</f>
        <v>V-105</v>
      </c>
      <c r="B142" s="68" t="str">
        <f aca="false">'Part names'!$B$38 &amp; "  · 15 m³/h · 0.9 m dia x 1.8 m"</f>
        <v>Gac Softener  · 15 m³/h · 0.9 m dia x 1.8 m</v>
      </c>
      <c r="C142" s="28" t="n">
        <v>1</v>
      </c>
      <c r="D142" s="36" t="n">
        <v>14825</v>
      </c>
      <c r="E142" s="36" t="n">
        <v>14825</v>
      </c>
      <c r="F142" s="11" t="s">
        <v>429</v>
      </c>
      <c r="G142" s="15" t="s">
        <v>469</v>
      </c>
      <c r="H142" s="15" t="s">
        <v>438</v>
      </c>
      <c r="I142" s="11" t="n">
        <v>4</v>
      </c>
      <c r="J142" s="11" t="s">
        <v>432</v>
      </c>
      <c r="K142" s="15" t="s">
        <v>700</v>
      </c>
      <c r="L142" s="15" t="s">
        <v>425</v>
      </c>
      <c r="M142" s="15" t="s">
        <v>445</v>
      </c>
      <c r="N142" s="71" t="s">
        <v>435</v>
      </c>
      <c r="O142" s="69" t="str">
        <f aca="false">IF(AND(LEN(TRIM($B142&amp;""))&gt;0,ISNUMBER($C142),$C142&gt;0,ISNUMBER($D142),$D142&gt;0,ISNUMBER($E142),$E142&gt;0,ABS($E142-$C142*$D142)&lt;=MAX(1,0.005*ABS($E142)),LEN(TRIM($M142&amp;""))&gt;0,TRIM($M142&amp;"")&lt;&gt;"—",LEN(TRIM($P142&amp;""))=0),"PASS","FAIL — "&amp;IF(LEN(TRIM($P142&amp;""))&gt;0,TRIM($P142&amp;""),"line ≠ qty×unit, a required cell empty, or qty/£ non-positive"))</f>
        <v>PASS</v>
      </c>
      <c r="P142" s="70"/>
      <c r="Q142" s="16" t="str">
        <f aca="false">IF(AND(LEN(TRIM(A142&amp;""))&gt;0,TRIM(A142&amp;"")&lt;&gt;"—",LEN(TRIM(B142&amp;""))&gt;0,TRIM(B142&amp;"")&lt;&gt;"—",LEN(TRIM(C142&amp;""))&gt;0,TRIM(C142&amp;"")&lt;&gt;"—",ISNUMBER(C142),LEN(TRIM(D142&amp;""))&gt;0,TRIM(D142&amp;"")&lt;&gt;"—",ISNUMBER(D142),LEN(TRIM(E142&amp;""))&gt;0,TRIM(E142&amp;"")&lt;&gt;"—",ISNUMBER(E142),LEN(TRIM(F142&amp;""))&gt;0,TRIM(F142&amp;"")&lt;&gt;"—",LEN(TRIM(I142&amp;""))&gt;0,TRIM(I142&amp;"")&lt;&gt;"—",LEN(TRIM(J142&amp;""))&gt;0,TRIM(J142&amp;"")&lt;&gt;"—",LEN(TRIM(O142&amp;""))&gt;0,TRIM(O142&amp;"")&lt;&gt;"—"),"PASS","⚠ FAIL — "&amp;"a required cell is empty/placeholder or wrong type")</f>
        <v>PASS</v>
      </c>
    </row>
    <row r="143" customFormat="false" ht="15" hidden="true" customHeight="false" outlineLevel="1" collapsed="false">
      <c r="A143" s="11" t="s">
        <v>701</v>
      </c>
      <c r="B143" s="68" t="s">
        <v>478</v>
      </c>
      <c r="C143" s="28" t="n">
        <v>1</v>
      </c>
      <c r="D143" s="11" t="s">
        <v>479</v>
      </c>
      <c r="E143" s="11" t="s">
        <v>480</v>
      </c>
      <c r="F143" s="11" t="s">
        <v>429</v>
      </c>
      <c r="G143" s="15" t="s">
        <v>481</v>
      </c>
      <c r="H143" s="15"/>
      <c r="I143" s="11" t="n">
        <v>4</v>
      </c>
      <c r="J143" s="11" t="s">
        <v>432</v>
      </c>
      <c r="O143" s="69" t="str">
        <f aca="false">IF(AND(LEN(TRIM($B143&amp;""))&gt;0,LEN(TRIM($P143&amp;""))=0),"PASS","FAIL — "&amp;IF(LEN(TRIM($P143&amp;""))&gt;0,TRIM($P143&amp;""),"line ≠ qty×unit, a required cell empty, or qty/£ non-positive"))</f>
        <v>PASS</v>
      </c>
      <c r="P143" s="70"/>
      <c r="Q143" s="16" t="str">
        <f aca="false">IF(AND(LEN(TRIM(B143&amp;""))&gt;0,TRIM(B143&amp;"")&lt;&gt;"—",LEN(TRIM(C143&amp;""))&gt;0,TRIM(C143&amp;"")&lt;&gt;"—",ISNUMBER(C143),LEN(TRIM(F143&amp;""))&gt;0,TRIM(F143&amp;"")&lt;&gt;"—",LEN(TRIM(I143&amp;""))&gt;0,TRIM(I143&amp;"")&lt;&gt;"—",LEN(TRIM(J143&amp;""))&gt;0,TRIM(J143&amp;"")&lt;&gt;"—",LEN(TRIM(O143&amp;""))&gt;0,TRIM(O143&amp;"")&lt;&gt;"—"),"PASS","⚠ FAIL — "&amp;"a required cell is empty/placeholder or wrong type")</f>
        <v>PASS</v>
      </c>
    </row>
    <row r="144" customFormat="false" ht="15" hidden="true" customHeight="false" outlineLevel="1" collapsed="false">
      <c r="A144" s="11" t="s">
        <v>702</v>
      </c>
      <c r="B144" s="68" t="s">
        <v>483</v>
      </c>
      <c r="C144" s="28" t="n">
        <v>1</v>
      </c>
      <c r="D144" s="11" t="s">
        <v>479</v>
      </c>
      <c r="E144" s="11" t="s">
        <v>480</v>
      </c>
      <c r="F144" s="11" t="s">
        <v>436</v>
      </c>
      <c r="G144" s="15" t="s">
        <v>481</v>
      </c>
      <c r="H144" s="15"/>
      <c r="I144" s="11" t="n">
        <v>5</v>
      </c>
      <c r="J144" s="11" t="s">
        <v>432</v>
      </c>
      <c r="O144" s="69" t="str">
        <f aca="false">IF(AND(LEN(TRIM($B144&amp;""))&gt;0,LEN(TRIM($P144&amp;""))=0),"PASS","FAIL — "&amp;IF(LEN(TRIM($P144&amp;""))&gt;0,TRIM($P144&amp;""),"line ≠ qty×unit, a required cell empty, or qty/£ non-positive"))</f>
        <v>PASS</v>
      </c>
      <c r="P144" s="70"/>
      <c r="Q144" s="16" t="str">
        <f aca="false">IF(AND(LEN(TRIM(B144&amp;""))&gt;0,TRIM(B144&amp;"")&lt;&gt;"—",LEN(TRIM(C144&amp;""))&gt;0,TRIM(C144&amp;"")&lt;&gt;"—",ISNUMBER(C144),LEN(TRIM(F144&amp;""))&gt;0,TRIM(F144&amp;"")&lt;&gt;"—",LEN(TRIM(I144&amp;""))&gt;0,TRIM(I144&amp;"")&lt;&gt;"—",LEN(TRIM(J144&amp;""))&gt;0,TRIM(J144&amp;"")&lt;&gt;"—",LEN(TRIM(O144&amp;""))&gt;0,TRIM(O144&amp;"")&lt;&gt;"—"),"PASS","⚠ FAIL — "&amp;"a required cell is empty/placeholder or wrong type")</f>
        <v>PASS</v>
      </c>
    </row>
    <row r="145" customFormat="false" ht="15" hidden="true" customHeight="false" outlineLevel="1" collapsed="false">
      <c r="A145" s="11" t="s">
        <v>703</v>
      </c>
      <c r="B145" s="68" t="s">
        <v>485</v>
      </c>
      <c r="C145" s="28" t="n">
        <v>1</v>
      </c>
      <c r="D145" s="11" t="s">
        <v>479</v>
      </c>
      <c r="E145" s="11" t="s">
        <v>480</v>
      </c>
      <c r="F145" s="11" t="s">
        <v>436</v>
      </c>
      <c r="G145" s="15" t="s">
        <v>481</v>
      </c>
      <c r="H145" s="15"/>
      <c r="I145" s="11" t="n">
        <v>5</v>
      </c>
      <c r="J145" s="11" t="s">
        <v>432</v>
      </c>
      <c r="O145" s="69" t="str">
        <f aca="false">IF(AND(LEN(TRIM($B145&amp;""))&gt;0,LEN(TRIM($P145&amp;""))=0),"PASS","FAIL — "&amp;IF(LEN(TRIM($P145&amp;""))&gt;0,TRIM($P145&amp;""),"line ≠ qty×unit, a required cell empty, or qty/£ non-positive"))</f>
        <v>PASS</v>
      </c>
      <c r="P145" s="70"/>
      <c r="Q145" s="16" t="str">
        <f aca="false">IF(AND(LEN(TRIM(B145&amp;""))&gt;0,TRIM(B145&amp;"")&lt;&gt;"—",LEN(TRIM(C145&amp;""))&gt;0,TRIM(C145&amp;"")&lt;&gt;"—",ISNUMBER(C145),LEN(TRIM(F145&amp;""))&gt;0,TRIM(F145&amp;"")&lt;&gt;"—",LEN(TRIM(I145&amp;""))&gt;0,TRIM(I145&amp;"")&lt;&gt;"—",LEN(TRIM(J145&amp;""))&gt;0,TRIM(J145&amp;"")&lt;&gt;"—",LEN(TRIM(O145&amp;""))&gt;0,TRIM(O145&amp;"")&lt;&gt;"—"),"PASS","⚠ FAIL — "&amp;"a required cell is empty/placeholder or wrong type")</f>
        <v>PASS</v>
      </c>
    </row>
    <row r="146" customFormat="false" ht="15" hidden="true" customHeight="false" outlineLevel="1" collapsed="false">
      <c r="A146" s="11" t="s">
        <v>704</v>
      </c>
      <c r="B146" s="68" t="s">
        <v>487</v>
      </c>
      <c r="C146" s="28" t="n">
        <v>1</v>
      </c>
      <c r="D146" s="11" t="s">
        <v>479</v>
      </c>
      <c r="E146" s="11" t="s">
        <v>480</v>
      </c>
      <c r="F146" s="11" t="s">
        <v>436</v>
      </c>
      <c r="G146" s="15" t="s">
        <v>481</v>
      </c>
      <c r="H146" s="15"/>
      <c r="I146" s="11" t="n">
        <v>5</v>
      </c>
      <c r="J146" s="11" t="s">
        <v>432</v>
      </c>
      <c r="O146" s="69" t="str">
        <f aca="false">IF(AND(LEN(TRIM($B146&amp;""))&gt;0,LEN(TRIM($P146&amp;""))=0),"PASS","FAIL — "&amp;IF(LEN(TRIM($P146&amp;""))&gt;0,TRIM($P146&amp;""),"line ≠ qty×unit, a required cell empty, or qty/£ non-positive"))</f>
        <v>PASS</v>
      </c>
      <c r="P146" s="70"/>
      <c r="Q146" s="16" t="str">
        <f aca="false">IF(AND(LEN(TRIM(B146&amp;""))&gt;0,TRIM(B146&amp;"")&lt;&gt;"—",LEN(TRIM(C146&amp;""))&gt;0,TRIM(C146&amp;"")&lt;&gt;"—",ISNUMBER(C146),LEN(TRIM(F146&amp;""))&gt;0,TRIM(F146&amp;"")&lt;&gt;"—",LEN(TRIM(I146&amp;""))&gt;0,TRIM(I146&amp;"")&lt;&gt;"—",LEN(TRIM(J146&amp;""))&gt;0,TRIM(J146&amp;"")&lt;&gt;"—",LEN(TRIM(O146&amp;""))&gt;0,TRIM(O146&amp;"")&lt;&gt;"—"),"PASS","⚠ FAIL — "&amp;"a required cell is empty/placeholder or wrong type")</f>
        <v>PASS</v>
      </c>
    </row>
    <row r="147" customFormat="false" ht="15" hidden="true" customHeight="false" outlineLevel="1" collapsed="false">
      <c r="A147" s="11" t="s">
        <v>705</v>
      </c>
      <c r="B147" s="68" t="s">
        <v>489</v>
      </c>
      <c r="C147" s="28" t="n">
        <v>1</v>
      </c>
      <c r="D147" s="11" t="s">
        <v>479</v>
      </c>
      <c r="E147" s="11" t="s">
        <v>480</v>
      </c>
      <c r="F147" s="11" t="s">
        <v>429</v>
      </c>
      <c r="G147" s="15" t="s">
        <v>481</v>
      </c>
      <c r="H147" s="15"/>
      <c r="I147" s="11" t="n">
        <v>4</v>
      </c>
      <c r="J147" s="11" t="s">
        <v>432</v>
      </c>
      <c r="O147" s="69" t="str">
        <f aca="false">IF(AND(LEN(TRIM($B147&amp;""))&gt;0,LEN(TRIM($P147&amp;""))=0),"PASS","FAIL — "&amp;IF(LEN(TRIM($P147&amp;""))&gt;0,TRIM($P147&amp;""),"line ≠ qty×unit, a required cell empty, or qty/£ non-positive"))</f>
        <v>PASS</v>
      </c>
      <c r="P147" s="70"/>
      <c r="Q147" s="16" t="str">
        <f aca="false">IF(AND(LEN(TRIM(B147&amp;""))&gt;0,TRIM(B147&amp;"")&lt;&gt;"—",LEN(TRIM(C147&amp;""))&gt;0,TRIM(C147&amp;"")&lt;&gt;"—",ISNUMBER(C147),LEN(TRIM(F147&amp;""))&gt;0,TRIM(F147&amp;"")&lt;&gt;"—",LEN(TRIM(I147&amp;""))&gt;0,TRIM(I147&amp;"")&lt;&gt;"—",LEN(TRIM(J147&amp;""))&gt;0,TRIM(J147&amp;"")&lt;&gt;"—",LEN(TRIM(O147&amp;""))&gt;0,TRIM(O147&amp;"")&lt;&gt;"—"),"PASS","⚠ FAIL — "&amp;"a required cell is empty/placeholder or wrong type")</f>
        <v>PASS</v>
      </c>
    </row>
    <row r="148" customFormat="false" ht="15" hidden="true" customHeight="false" outlineLevel="1" collapsed="false">
      <c r="A148" s="11" t="s">
        <v>706</v>
      </c>
      <c r="B148" s="68" t="s">
        <v>491</v>
      </c>
      <c r="C148" s="28" t="n">
        <v>1</v>
      </c>
      <c r="D148" s="11" t="s">
        <v>479</v>
      </c>
      <c r="E148" s="11" t="s">
        <v>480</v>
      </c>
      <c r="F148" s="11" t="s">
        <v>436</v>
      </c>
      <c r="G148" s="15" t="s">
        <v>481</v>
      </c>
      <c r="H148" s="15"/>
      <c r="I148" s="11" t="n">
        <v>5</v>
      </c>
      <c r="J148" s="11" t="s">
        <v>432</v>
      </c>
      <c r="O148" s="69" t="str">
        <f aca="false">IF(AND(LEN(TRIM($B148&amp;""))&gt;0,LEN(TRIM($P148&amp;""))=0),"PASS","FAIL — "&amp;IF(LEN(TRIM($P148&amp;""))&gt;0,TRIM($P148&amp;""),"line ≠ qty×unit, a required cell empty, or qty/£ non-positive"))</f>
        <v>PASS</v>
      </c>
      <c r="P148" s="70"/>
      <c r="Q148" s="16" t="str">
        <f aca="false">IF(AND(LEN(TRIM(B148&amp;""))&gt;0,TRIM(B148&amp;"")&lt;&gt;"—",LEN(TRIM(C148&amp;""))&gt;0,TRIM(C148&amp;"")&lt;&gt;"—",ISNUMBER(C148),LEN(TRIM(F148&amp;""))&gt;0,TRIM(F148&amp;"")&lt;&gt;"—",LEN(TRIM(I148&amp;""))&gt;0,TRIM(I148&amp;"")&lt;&gt;"—",LEN(TRIM(J148&amp;""))&gt;0,TRIM(J148&amp;"")&lt;&gt;"—",LEN(TRIM(O148&amp;""))&gt;0,TRIM(O148&amp;"")&lt;&gt;"—"),"PASS","⚠ FAIL — "&amp;"a required cell is empty/placeholder or wrong type")</f>
        <v>PASS</v>
      </c>
    </row>
    <row r="149" customFormat="false" ht="15" hidden="true" customHeight="false" outlineLevel="1" collapsed="false">
      <c r="A149" s="11" t="s">
        <v>707</v>
      </c>
      <c r="B149" s="68" t="s">
        <v>493</v>
      </c>
      <c r="C149" s="28" t="n">
        <v>1</v>
      </c>
      <c r="D149" s="11" t="s">
        <v>479</v>
      </c>
      <c r="E149" s="11" t="s">
        <v>480</v>
      </c>
      <c r="F149" s="11" t="s">
        <v>436</v>
      </c>
      <c r="G149" s="15" t="s">
        <v>481</v>
      </c>
      <c r="H149" s="15"/>
      <c r="I149" s="11" t="n">
        <v>5</v>
      </c>
      <c r="J149" s="11" t="s">
        <v>432</v>
      </c>
      <c r="O149" s="69" t="str">
        <f aca="false">IF(AND(LEN(TRIM($B149&amp;""))&gt;0,LEN(TRIM($P149&amp;""))=0),"PASS","FAIL — "&amp;IF(LEN(TRIM($P149&amp;""))&gt;0,TRIM($P149&amp;""),"line ≠ qty×unit, a required cell empty, or qty/£ non-positive"))</f>
        <v>PASS</v>
      </c>
      <c r="P149" s="70"/>
      <c r="Q149" s="16" t="str">
        <f aca="false">IF(AND(LEN(TRIM(B149&amp;""))&gt;0,TRIM(B149&amp;"")&lt;&gt;"—",LEN(TRIM(C149&amp;""))&gt;0,TRIM(C149&amp;"")&lt;&gt;"—",ISNUMBER(C149),LEN(TRIM(F149&amp;""))&gt;0,TRIM(F149&amp;"")&lt;&gt;"—",LEN(TRIM(I149&amp;""))&gt;0,TRIM(I149&amp;"")&lt;&gt;"—",LEN(TRIM(J149&amp;""))&gt;0,TRIM(J149&amp;"")&lt;&gt;"—",LEN(TRIM(O149&amp;""))&gt;0,TRIM(O149&amp;"")&lt;&gt;"—"),"PASS","⚠ FAIL — "&amp;"a required cell is empty/placeholder or wrong type")</f>
        <v>PASS</v>
      </c>
    </row>
    <row r="150" customFormat="false" ht="15" hidden="true" customHeight="false" outlineLevel="1" collapsed="false">
      <c r="A150" s="11" t="s">
        <v>708</v>
      </c>
      <c r="B150" s="68" t="s">
        <v>495</v>
      </c>
      <c r="C150" s="28" t="n">
        <v>1</v>
      </c>
      <c r="D150" s="11" t="s">
        <v>479</v>
      </c>
      <c r="E150" s="11" t="s">
        <v>480</v>
      </c>
      <c r="F150" s="11" t="s">
        <v>429</v>
      </c>
      <c r="G150" s="15" t="s">
        <v>481</v>
      </c>
      <c r="H150" s="15"/>
      <c r="I150" s="11" t="n">
        <v>4</v>
      </c>
      <c r="J150" s="11" t="s">
        <v>432</v>
      </c>
      <c r="O150" s="69" t="str">
        <f aca="false">IF(AND(LEN(TRIM($B150&amp;""))&gt;0,LEN(TRIM($P150&amp;""))=0),"PASS","FAIL — "&amp;IF(LEN(TRIM($P150&amp;""))&gt;0,TRIM($P150&amp;""),"line ≠ qty×unit, a required cell empty, or qty/£ non-positive"))</f>
        <v>PASS</v>
      </c>
      <c r="P150" s="70"/>
      <c r="Q150" s="16" t="str">
        <f aca="false">IF(AND(LEN(TRIM(B150&amp;""))&gt;0,TRIM(B150&amp;"")&lt;&gt;"—",LEN(TRIM(C150&amp;""))&gt;0,TRIM(C150&amp;"")&lt;&gt;"—",ISNUMBER(C150),LEN(TRIM(F150&amp;""))&gt;0,TRIM(F150&amp;"")&lt;&gt;"—",LEN(TRIM(I150&amp;""))&gt;0,TRIM(I150&amp;"")&lt;&gt;"—",LEN(TRIM(J150&amp;""))&gt;0,TRIM(J150&amp;"")&lt;&gt;"—",LEN(TRIM(O150&amp;""))&gt;0,TRIM(O150&amp;"")&lt;&gt;"—"),"PASS","⚠ FAIL — "&amp;"a required cell is empty/placeholder or wrong type")</f>
        <v>PASS</v>
      </c>
    </row>
    <row r="151" customFormat="false" ht="15" hidden="true" customHeight="false" outlineLevel="1" collapsed="false">
      <c r="A151" s="11" t="s">
        <v>709</v>
      </c>
      <c r="B151" s="68" t="s">
        <v>497</v>
      </c>
      <c r="C151" s="28" t="n">
        <v>1</v>
      </c>
      <c r="D151" s="11" t="s">
        <v>479</v>
      </c>
      <c r="E151" s="11" t="s">
        <v>480</v>
      </c>
      <c r="F151" s="11" t="s">
        <v>429</v>
      </c>
      <c r="G151" s="15" t="s">
        <v>481</v>
      </c>
      <c r="H151" s="15"/>
      <c r="I151" s="11" t="n">
        <v>4</v>
      </c>
      <c r="J151" s="11" t="s">
        <v>432</v>
      </c>
      <c r="O151" s="69" t="str">
        <f aca="false">IF(AND(LEN(TRIM($B151&amp;""))&gt;0,LEN(TRIM($P151&amp;""))=0),"PASS","FAIL — "&amp;IF(LEN(TRIM($P151&amp;""))&gt;0,TRIM($P151&amp;""),"line ≠ qty×unit, a required cell empty, or qty/£ non-positive"))</f>
        <v>PASS</v>
      </c>
      <c r="P151" s="70"/>
      <c r="Q151" s="16" t="str">
        <f aca="false">IF(AND(LEN(TRIM(B151&amp;""))&gt;0,TRIM(B151&amp;"")&lt;&gt;"—",LEN(TRIM(C151&amp;""))&gt;0,TRIM(C151&amp;"")&lt;&gt;"—",ISNUMBER(C151),LEN(TRIM(F151&amp;""))&gt;0,TRIM(F151&amp;"")&lt;&gt;"—",LEN(TRIM(I151&amp;""))&gt;0,TRIM(I151&amp;"")&lt;&gt;"—",LEN(TRIM(J151&amp;""))&gt;0,TRIM(J151&amp;"")&lt;&gt;"—",LEN(TRIM(O151&amp;""))&gt;0,TRIM(O151&amp;"")&lt;&gt;"—"),"PASS","⚠ FAIL — "&amp;"a required cell is empty/placeholder or wrong type")</f>
        <v>PASS</v>
      </c>
    </row>
    <row r="152" customFormat="false" ht="15" hidden="true" customHeight="false" outlineLevel="1" collapsed="false">
      <c r="A152" s="11" t="s">
        <v>710</v>
      </c>
      <c r="B152" s="68" t="s">
        <v>499</v>
      </c>
      <c r="C152" s="28" t="n">
        <v>1</v>
      </c>
      <c r="D152" s="11" t="s">
        <v>479</v>
      </c>
      <c r="E152" s="11" t="s">
        <v>480</v>
      </c>
      <c r="F152" s="11" t="s">
        <v>436</v>
      </c>
      <c r="G152" s="15" t="s">
        <v>481</v>
      </c>
      <c r="H152" s="15"/>
      <c r="I152" s="11" t="n">
        <v>5</v>
      </c>
      <c r="J152" s="11" t="s">
        <v>432</v>
      </c>
      <c r="O152" s="69" t="str">
        <f aca="false">IF(AND(LEN(TRIM($B152&amp;""))&gt;0,LEN(TRIM($P152&amp;""))=0),"PASS","FAIL — "&amp;IF(LEN(TRIM($P152&amp;""))&gt;0,TRIM($P152&amp;""),"line ≠ qty×unit, a required cell empty, or qty/£ non-positive"))</f>
        <v>PASS</v>
      </c>
      <c r="P152" s="70"/>
      <c r="Q152" s="16" t="str">
        <f aca="false">IF(AND(LEN(TRIM(B152&amp;""))&gt;0,TRIM(B152&amp;"")&lt;&gt;"—",LEN(TRIM(C152&amp;""))&gt;0,TRIM(C152&amp;"")&lt;&gt;"—",ISNUMBER(C152),LEN(TRIM(F152&amp;""))&gt;0,TRIM(F152&amp;"")&lt;&gt;"—",LEN(TRIM(I152&amp;""))&gt;0,TRIM(I152&amp;"")&lt;&gt;"—",LEN(TRIM(J152&amp;""))&gt;0,TRIM(J152&amp;"")&lt;&gt;"—",LEN(TRIM(O152&amp;""))&gt;0,TRIM(O152&amp;"")&lt;&gt;"—"),"PASS","⚠ FAIL — "&amp;"a required cell is empty/placeholder or wrong type")</f>
        <v>PASS</v>
      </c>
    </row>
    <row r="153" customFormat="false" ht="32.8" hidden="false" customHeight="false" outlineLevel="0" collapsed="true">
      <c r="A153" s="11" t="str">
        <f aca="false">'Part names'!$A$47</f>
        <v>P-103</v>
      </c>
      <c r="B153" s="68" t="str">
        <f aca="false">'Part names'!$B$47 &amp; "  · 90 m³/h · 1379x766x1073 mm"</f>
        <v>Irrigation Pump  · 90 m³/h · 1379x766x1073 mm</v>
      </c>
      <c r="C153" s="28" t="n">
        <v>1</v>
      </c>
      <c r="D153" s="36" t="n">
        <v>9413</v>
      </c>
      <c r="E153" s="36" t="n">
        <v>9413</v>
      </c>
      <c r="F153" s="11" t="s">
        <v>429</v>
      </c>
      <c r="G153" s="15" t="s">
        <v>711</v>
      </c>
      <c r="H153" s="15" t="s">
        <v>712</v>
      </c>
      <c r="I153" s="11" t="n">
        <v>4</v>
      </c>
      <c r="J153" s="11" t="s">
        <v>432</v>
      </c>
      <c r="K153" s="15" t="s">
        <v>713</v>
      </c>
      <c r="L153" s="68" t="s">
        <v>512</v>
      </c>
      <c r="M153" s="15" t="s">
        <v>714</v>
      </c>
      <c r="N153" s="68" t="s">
        <v>715</v>
      </c>
      <c r="O153" s="69" t="str">
        <f aca="false">IF(AND(LEN(TRIM($B153&amp;""))&gt;0,ISNUMBER($C153),$C153&gt;0,ISNUMBER($D153),$D153&gt;0,ISNUMBER($E153),$E153&gt;0,ABS($E153-$C153*$D153)&lt;=MAX(1,0.005*ABS($E153)),LEN(TRIM($M153&amp;""))&gt;0,TRIM($M153&amp;"")&lt;&gt;"—",LEN(TRIM($P153&amp;""))=0),"PASS","FAIL — "&amp;IF(LEN(TRIM($P153&amp;""))&gt;0,TRIM($P153&amp;""),"line ≠ qty×unit, a required cell empty, or qty/£ non-positive"))</f>
        <v>PASS</v>
      </c>
      <c r="P153" s="70"/>
      <c r="Q153" s="16" t="str">
        <f aca="false">IF(AND(LEN(TRIM(A153&amp;""))&gt;0,TRIM(A153&amp;"")&lt;&gt;"—",LEN(TRIM(B153&amp;""))&gt;0,TRIM(B153&amp;"")&lt;&gt;"—",LEN(TRIM(C153&amp;""))&gt;0,TRIM(C153&amp;"")&lt;&gt;"—",ISNUMBER(C153),LEN(TRIM(D153&amp;""))&gt;0,TRIM(D153&amp;"")&lt;&gt;"—",ISNUMBER(D153),LEN(TRIM(E153&amp;""))&gt;0,TRIM(E153&amp;"")&lt;&gt;"—",ISNUMBER(E153),LEN(TRIM(F153&amp;""))&gt;0,TRIM(F153&amp;"")&lt;&gt;"—",LEN(TRIM(I153&amp;""))&gt;0,TRIM(I153&amp;"")&lt;&gt;"—",LEN(TRIM(J153&amp;""))&gt;0,TRIM(J153&amp;"")&lt;&gt;"—",LEN(TRIM(O153&amp;""))&gt;0,TRIM(O153&amp;"")&lt;&gt;"—"),"PASS","⚠ FAIL — "&amp;"a required cell is empty/placeholder or wrong type")</f>
        <v>PASS</v>
      </c>
    </row>
    <row r="154" customFormat="false" ht="15" hidden="true" customHeight="false" outlineLevel="1" collapsed="false">
      <c r="A154" s="11" t="s">
        <v>716</v>
      </c>
      <c r="B154" s="68" t="s">
        <v>573</v>
      </c>
      <c r="C154" s="28" t="n">
        <v>1</v>
      </c>
      <c r="D154" s="11" t="s">
        <v>479</v>
      </c>
      <c r="E154" s="11" t="s">
        <v>480</v>
      </c>
      <c r="F154" s="11" t="s">
        <v>436</v>
      </c>
      <c r="G154" s="15" t="s">
        <v>481</v>
      </c>
      <c r="H154" s="15"/>
      <c r="I154" s="11" t="n">
        <v>5</v>
      </c>
      <c r="J154" s="11" t="s">
        <v>432</v>
      </c>
      <c r="O154" s="69" t="str">
        <f aca="false">IF(AND(LEN(TRIM($B154&amp;""))&gt;0,LEN(TRIM($P154&amp;""))=0),"PASS","FAIL — "&amp;IF(LEN(TRIM($P154&amp;""))&gt;0,TRIM($P154&amp;""),"line ≠ qty×unit, a required cell empty, or qty/£ non-positive"))</f>
        <v>PASS</v>
      </c>
      <c r="P154" s="70"/>
      <c r="Q154" s="16" t="str">
        <f aca="false">IF(AND(LEN(TRIM(B154&amp;""))&gt;0,TRIM(B154&amp;"")&lt;&gt;"—",LEN(TRIM(C154&amp;""))&gt;0,TRIM(C154&amp;"")&lt;&gt;"—",ISNUMBER(C154),LEN(TRIM(F154&amp;""))&gt;0,TRIM(F154&amp;"")&lt;&gt;"—",LEN(TRIM(I154&amp;""))&gt;0,TRIM(I154&amp;"")&lt;&gt;"—",LEN(TRIM(J154&amp;""))&gt;0,TRIM(J154&amp;"")&lt;&gt;"—",LEN(TRIM(O154&amp;""))&gt;0,TRIM(O154&amp;"")&lt;&gt;"—"),"PASS","⚠ FAIL — "&amp;"a required cell is empty/placeholder or wrong type")</f>
        <v>PASS</v>
      </c>
    </row>
    <row r="155" customFormat="false" ht="15" hidden="true" customHeight="false" outlineLevel="1" collapsed="false">
      <c r="A155" s="11" t="s">
        <v>717</v>
      </c>
      <c r="B155" s="68" t="s">
        <v>575</v>
      </c>
      <c r="C155" s="28" t="n">
        <v>1</v>
      </c>
      <c r="D155" s="11" t="s">
        <v>479</v>
      </c>
      <c r="E155" s="11" t="s">
        <v>480</v>
      </c>
      <c r="F155" s="11" t="s">
        <v>429</v>
      </c>
      <c r="G155" s="15" t="s">
        <v>481</v>
      </c>
      <c r="H155" s="15"/>
      <c r="I155" s="11" t="n">
        <v>4</v>
      </c>
      <c r="J155" s="11" t="s">
        <v>432</v>
      </c>
      <c r="O155" s="69" t="str">
        <f aca="false">IF(AND(LEN(TRIM($B155&amp;""))&gt;0,LEN(TRIM($P155&amp;""))=0),"PASS","FAIL — "&amp;IF(LEN(TRIM($P155&amp;""))&gt;0,TRIM($P155&amp;""),"line ≠ qty×unit, a required cell empty, or qty/£ non-positive"))</f>
        <v>PASS</v>
      </c>
      <c r="P155" s="70"/>
      <c r="Q155" s="16" t="str">
        <f aca="false">IF(AND(LEN(TRIM(B155&amp;""))&gt;0,TRIM(B155&amp;"")&lt;&gt;"—",LEN(TRIM(C155&amp;""))&gt;0,TRIM(C155&amp;"")&lt;&gt;"—",ISNUMBER(C155),LEN(TRIM(F155&amp;""))&gt;0,TRIM(F155&amp;"")&lt;&gt;"—",LEN(TRIM(I155&amp;""))&gt;0,TRIM(I155&amp;"")&lt;&gt;"—",LEN(TRIM(J155&amp;""))&gt;0,TRIM(J155&amp;"")&lt;&gt;"—",LEN(TRIM(O155&amp;""))&gt;0,TRIM(O155&amp;"")&lt;&gt;"—"),"PASS","⚠ FAIL — "&amp;"a required cell is empty/placeholder or wrong type")</f>
        <v>PASS</v>
      </c>
    </row>
    <row r="156" customFormat="false" ht="15" hidden="true" customHeight="false" outlineLevel="1" collapsed="false">
      <c r="A156" s="11" t="s">
        <v>718</v>
      </c>
      <c r="B156" s="68" t="s">
        <v>719</v>
      </c>
      <c r="C156" s="28" t="n">
        <v>1</v>
      </c>
      <c r="D156" s="11" t="s">
        <v>479</v>
      </c>
      <c r="E156" s="11" t="s">
        <v>480</v>
      </c>
      <c r="F156" s="11" t="s">
        <v>429</v>
      </c>
      <c r="G156" s="15" t="s">
        <v>481</v>
      </c>
      <c r="H156" s="15"/>
      <c r="I156" s="11" t="n">
        <v>4</v>
      </c>
      <c r="J156" s="11" t="s">
        <v>432</v>
      </c>
      <c r="O156" s="69" t="str">
        <f aca="false">IF(AND(LEN(TRIM($B156&amp;""))&gt;0,LEN(TRIM($P156&amp;""))=0),"PASS","FAIL — "&amp;IF(LEN(TRIM($P156&amp;""))&gt;0,TRIM($P156&amp;""),"line ≠ qty×unit, a required cell empty, or qty/£ non-positive"))</f>
        <v>PASS</v>
      </c>
      <c r="P156" s="70"/>
      <c r="Q156" s="16" t="str">
        <f aca="false">IF(AND(LEN(TRIM(B156&amp;""))&gt;0,TRIM(B156&amp;"")&lt;&gt;"—",LEN(TRIM(C156&amp;""))&gt;0,TRIM(C156&amp;"")&lt;&gt;"—",ISNUMBER(C156),LEN(TRIM(F156&amp;""))&gt;0,TRIM(F156&amp;"")&lt;&gt;"—",LEN(TRIM(I156&amp;""))&gt;0,TRIM(I156&amp;"")&lt;&gt;"—",LEN(TRIM(J156&amp;""))&gt;0,TRIM(J156&amp;"")&lt;&gt;"—",LEN(TRIM(O156&amp;""))&gt;0,TRIM(O156&amp;"")&lt;&gt;"—"),"PASS","⚠ FAIL — "&amp;"a required cell is empty/placeholder or wrong type")</f>
        <v>PASS</v>
      </c>
    </row>
    <row r="157" customFormat="false" ht="15" hidden="true" customHeight="false" outlineLevel="1" collapsed="false">
      <c r="A157" s="11" t="s">
        <v>720</v>
      </c>
      <c r="B157" s="68" t="s">
        <v>721</v>
      </c>
      <c r="C157" s="28" t="n">
        <v>1</v>
      </c>
      <c r="D157" s="11" t="s">
        <v>479</v>
      </c>
      <c r="E157" s="11" t="s">
        <v>480</v>
      </c>
      <c r="F157" s="11" t="s">
        <v>421</v>
      </c>
      <c r="G157" s="15" t="s">
        <v>481</v>
      </c>
      <c r="H157" s="15"/>
      <c r="I157" s="11" t="n">
        <v>2</v>
      </c>
      <c r="J157" s="11" t="s">
        <v>423</v>
      </c>
      <c r="O157" s="69" t="str">
        <f aca="false">IF(AND(LEN(TRIM($B157&amp;""))&gt;0,LEN(TRIM($P157&amp;""))=0),"PASS","FAIL — "&amp;IF(LEN(TRIM($P157&amp;""))&gt;0,TRIM($P157&amp;""),"line ≠ qty×unit, a required cell empty, or qty/£ non-positive"))</f>
        <v>PASS</v>
      </c>
      <c r="P157" s="70"/>
      <c r="Q157" s="16" t="str">
        <f aca="false">IF(AND(LEN(TRIM(B157&amp;""))&gt;0,TRIM(B157&amp;"")&lt;&gt;"—",LEN(TRIM(C157&amp;""))&gt;0,TRIM(C157&amp;"")&lt;&gt;"—",ISNUMBER(C157),LEN(TRIM(F157&amp;""))&gt;0,TRIM(F157&amp;"")&lt;&gt;"—",LEN(TRIM(I157&amp;""))&gt;0,TRIM(I157&amp;"")&lt;&gt;"—",LEN(TRIM(J157&amp;""))&gt;0,TRIM(J157&amp;"")&lt;&gt;"—",LEN(TRIM(O157&amp;""))&gt;0,TRIM(O157&amp;"")&lt;&gt;"—"),"PASS","⚠ FAIL — "&amp;"a required cell is empty/placeholder or wrong type")</f>
        <v>PASS</v>
      </c>
    </row>
    <row r="158" customFormat="false" ht="15" hidden="true" customHeight="false" outlineLevel="1" collapsed="false">
      <c r="A158" s="11" t="s">
        <v>722</v>
      </c>
      <c r="B158" s="68" t="s">
        <v>582</v>
      </c>
      <c r="C158" s="28" t="n">
        <v>1</v>
      </c>
      <c r="D158" s="11" t="s">
        <v>479</v>
      </c>
      <c r="E158" s="11" t="s">
        <v>480</v>
      </c>
      <c r="F158" s="11" t="s">
        <v>429</v>
      </c>
      <c r="G158" s="15" t="s">
        <v>481</v>
      </c>
      <c r="H158" s="15"/>
      <c r="I158" s="11" t="n">
        <v>4</v>
      </c>
      <c r="J158" s="11" t="s">
        <v>432</v>
      </c>
      <c r="O158" s="69" t="str">
        <f aca="false">IF(AND(LEN(TRIM($B158&amp;""))&gt;0,LEN(TRIM($P158&amp;""))=0),"PASS","FAIL — "&amp;IF(LEN(TRIM($P158&amp;""))&gt;0,TRIM($P158&amp;""),"line ≠ qty×unit, a required cell empty, or qty/£ non-positive"))</f>
        <v>PASS</v>
      </c>
      <c r="P158" s="70"/>
      <c r="Q158" s="16" t="str">
        <f aca="false">IF(AND(LEN(TRIM(B158&amp;""))&gt;0,TRIM(B158&amp;"")&lt;&gt;"—",LEN(TRIM(C158&amp;""))&gt;0,TRIM(C158&amp;"")&lt;&gt;"—",ISNUMBER(C158),LEN(TRIM(F158&amp;""))&gt;0,TRIM(F158&amp;"")&lt;&gt;"—",LEN(TRIM(I158&amp;""))&gt;0,TRIM(I158&amp;"")&lt;&gt;"—",LEN(TRIM(J158&amp;""))&gt;0,TRIM(J158&amp;"")&lt;&gt;"—",LEN(TRIM(O158&amp;""))&gt;0,TRIM(O158&amp;"")&lt;&gt;"—"),"PASS","⚠ FAIL — "&amp;"a required cell is empty/placeholder or wrong type")</f>
        <v>PASS</v>
      </c>
    </row>
    <row r="159" customFormat="false" ht="15" hidden="true" customHeight="false" outlineLevel="1" collapsed="false">
      <c r="A159" s="11" t="s">
        <v>723</v>
      </c>
      <c r="B159" s="68" t="s">
        <v>584</v>
      </c>
      <c r="C159" s="28" t="n">
        <v>1</v>
      </c>
      <c r="D159" s="11" t="s">
        <v>479</v>
      </c>
      <c r="E159" s="11" t="s">
        <v>480</v>
      </c>
      <c r="F159" s="11" t="s">
        <v>429</v>
      </c>
      <c r="G159" s="15" t="s">
        <v>481</v>
      </c>
      <c r="H159" s="15"/>
      <c r="I159" s="11" t="n">
        <v>4</v>
      </c>
      <c r="J159" s="11" t="s">
        <v>432</v>
      </c>
      <c r="O159" s="69" t="str">
        <f aca="false">IF(AND(LEN(TRIM($B159&amp;""))&gt;0,LEN(TRIM($P159&amp;""))=0),"PASS","FAIL — "&amp;IF(LEN(TRIM($P159&amp;""))&gt;0,TRIM($P159&amp;""),"line ≠ qty×unit, a required cell empty, or qty/£ non-positive"))</f>
        <v>PASS</v>
      </c>
      <c r="P159" s="70"/>
      <c r="Q159" s="16" t="str">
        <f aca="false">IF(AND(LEN(TRIM(B159&amp;""))&gt;0,TRIM(B159&amp;"")&lt;&gt;"—",LEN(TRIM(C159&amp;""))&gt;0,TRIM(C159&amp;"")&lt;&gt;"—",ISNUMBER(C159),LEN(TRIM(F159&amp;""))&gt;0,TRIM(F159&amp;"")&lt;&gt;"—",LEN(TRIM(I159&amp;""))&gt;0,TRIM(I159&amp;"")&lt;&gt;"—",LEN(TRIM(J159&amp;""))&gt;0,TRIM(J159&amp;"")&lt;&gt;"—",LEN(TRIM(O159&amp;""))&gt;0,TRIM(O159&amp;"")&lt;&gt;"—"),"PASS","⚠ FAIL — "&amp;"a required cell is empty/placeholder or wrong type")</f>
        <v>PASS</v>
      </c>
    </row>
    <row r="160" customFormat="false" ht="15" hidden="true" customHeight="false" outlineLevel="1" collapsed="false">
      <c r="A160" s="11" t="s">
        <v>724</v>
      </c>
      <c r="B160" s="68" t="s">
        <v>586</v>
      </c>
      <c r="C160" s="28" t="n">
        <v>1</v>
      </c>
      <c r="D160" s="11" t="s">
        <v>479</v>
      </c>
      <c r="E160" s="11" t="s">
        <v>480</v>
      </c>
      <c r="F160" s="11" t="s">
        <v>436</v>
      </c>
      <c r="G160" s="15" t="s">
        <v>481</v>
      </c>
      <c r="H160" s="15"/>
      <c r="I160" s="11" t="n">
        <v>5</v>
      </c>
      <c r="J160" s="11" t="s">
        <v>432</v>
      </c>
      <c r="O160" s="69" t="str">
        <f aca="false">IF(AND(LEN(TRIM($B160&amp;""))&gt;0,LEN(TRIM($P160&amp;""))=0),"PASS","FAIL — "&amp;IF(LEN(TRIM($P160&amp;""))&gt;0,TRIM($P160&amp;""),"line ≠ qty×unit, a required cell empty, or qty/£ non-positive"))</f>
        <v>PASS</v>
      </c>
      <c r="P160" s="70"/>
      <c r="Q160" s="16" t="str">
        <f aca="false">IF(AND(LEN(TRIM(B160&amp;""))&gt;0,TRIM(B160&amp;"")&lt;&gt;"—",LEN(TRIM(C160&amp;""))&gt;0,TRIM(C160&amp;"")&lt;&gt;"—",ISNUMBER(C160),LEN(TRIM(F160&amp;""))&gt;0,TRIM(F160&amp;"")&lt;&gt;"—",LEN(TRIM(I160&amp;""))&gt;0,TRIM(I160&amp;"")&lt;&gt;"—",LEN(TRIM(J160&amp;""))&gt;0,TRIM(J160&amp;"")&lt;&gt;"—",LEN(TRIM(O160&amp;""))&gt;0,TRIM(O160&amp;"")&lt;&gt;"—"),"PASS","⚠ FAIL — "&amp;"a required cell is empty/placeholder or wrong type")</f>
        <v>PASS</v>
      </c>
    </row>
    <row r="161" customFormat="false" ht="15" hidden="true" customHeight="false" outlineLevel="1" collapsed="false">
      <c r="A161" s="11" t="s">
        <v>725</v>
      </c>
      <c r="B161" s="68" t="s">
        <v>588</v>
      </c>
      <c r="C161" s="28" t="n">
        <v>1</v>
      </c>
      <c r="D161" s="11" t="s">
        <v>479</v>
      </c>
      <c r="E161" s="11" t="s">
        <v>480</v>
      </c>
      <c r="F161" s="11" t="s">
        <v>429</v>
      </c>
      <c r="G161" s="15" t="s">
        <v>481</v>
      </c>
      <c r="H161" s="15"/>
      <c r="I161" s="11" t="n">
        <v>4</v>
      </c>
      <c r="J161" s="11" t="s">
        <v>432</v>
      </c>
      <c r="O161" s="69" t="str">
        <f aca="false">IF(AND(LEN(TRIM($B161&amp;""))&gt;0,LEN(TRIM($P161&amp;""))=0),"PASS","FAIL — "&amp;IF(LEN(TRIM($P161&amp;""))&gt;0,TRIM($P161&amp;""),"line ≠ qty×unit, a required cell empty, or qty/£ non-positive"))</f>
        <v>PASS</v>
      </c>
      <c r="P161" s="70"/>
      <c r="Q161" s="16" t="str">
        <f aca="false">IF(AND(LEN(TRIM(B161&amp;""))&gt;0,TRIM(B161&amp;"")&lt;&gt;"—",LEN(TRIM(C161&amp;""))&gt;0,TRIM(C161&amp;"")&lt;&gt;"—",ISNUMBER(C161),LEN(TRIM(F161&amp;""))&gt;0,TRIM(F161&amp;"")&lt;&gt;"—",LEN(TRIM(I161&amp;""))&gt;0,TRIM(I161&amp;"")&lt;&gt;"—",LEN(TRIM(J161&amp;""))&gt;0,TRIM(J161&amp;"")&lt;&gt;"—",LEN(TRIM(O161&amp;""))&gt;0,TRIM(O161&amp;"")&lt;&gt;"—"),"PASS","⚠ FAIL — "&amp;"a required cell is empty/placeholder or wrong type")</f>
        <v>PASS</v>
      </c>
    </row>
    <row r="162" customFormat="false" ht="15" hidden="true" customHeight="false" outlineLevel="1" collapsed="false">
      <c r="A162" s="11" t="s">
        <v>726</v>
      </c>
      <c r="B162" s="68" t="s">
        <v>590</v>
      </c>
      <c r="C162" s="28" t="n">
        <v>1</v>
      </c>
      <c r="D162" s="11" t="s">
        <v>479</v>
      </c>
      <c r="E162" s="11" t="s">
        <v>480</v>
      </c>
      <c r="F162" s="11" t="s">
        <v>436</v>
      </c>
      <c r="G162" s="15" t="s">
        <v>481</v>
      </c>
      <c r="H162" s="15"/>
      <c r="I162" s="11" t="n">
        <v>5</v>
      </c>
      <c r="J162" s="11" t="s">
        <v>432</v>
      </c>
      <c r="O162" s="69" t="str">
        <f aca="false">IF(AND(LEN(TRIM($B162&amp;""))&gt;0,LEN(TRIM($P162&amp;""))=0),"PASS","FAIL — "&amp;IF(LEN(TRIM($P162&amp;""))&gt;0,TRIM($P162&amp;""),"line ≠ qty×unit, a required cell empty, or qty/£ non-positive"))</f>
        <v>PASS</v>
      </c>
      <c r="P162" s="70"/>
      <c r="Q162" s="16" t="str">
        <f aca="false">IF(AND(LEN(TRIM(B162&amp;""))&gt;0,TRIM(B162&amp;"")&lt;&gt;"—",LEN(TRIM(C162&amp;""))&gt;0,TRIM(C162&amp;"")&lt;&gt;"—",ISNUMBER(C162),LEN(TRIM(F162&amp;""))&gt;0,TRIM(F162&amp;"")&lt;&gt;"—",LEN(TRIM(I162&amp;""))&gt;0,TRIM(I162&amp;"")&lt;&gt;"—",LEN(TRIM(J162&amp;""))&gt;0,TRIM(J162&amp;"")&lt;&gt;"—",LEN(TRIM(O162&amp;""))&gt;0,TRIM(O162&amp;"")&lt;&gt;"—"),"PASS","⚠ FAIL — "&amp;"a required cell is empty/placeholder or wrong type")</f>
        <v>PASS</v>
      </c>
    </row>
    <row r="163" customFormat="false" ht="15" hidden="true" customHeight="false" outlineLevel="1" collapsed="false">
      <c r="A163" s="11" t="s">
        <v>727</v>
      </c>
      <c r="B163" s="68" t="s">
        <v>592</v>
      </c>
      <c r="C163" s="28" t="n">
        <v>1</v>
      </c>
      <c r="D163" s="11" t="s">
        <v>479</v>
      </c>
      <c r="E163" s="11" t="s">
        <v>480</v>
      </c>
      <c r="F163" s="11" t="s">
        <v>436</v>
      </c>
      <c r="G163" s="15" t="s">
        <v>481</v>
      </c>
      <c r="H163" s="15"/>
      <c r="I163" s="11" t="n">
        <v>5</v>
      </c>
      <c r="J163" s="11" t="s">
        <v>432</v>
      </c>
      <c r="O163" s="69" t="str">
        <f aca="false">IF(AND(LEN(TRIM($B163&amp;""))&gt;0,LEN(TRIM($P163&amp;""))=0),"PASS","FAIL — "&amp;IF(LEN(TRIM($P163&amp;""))&gt;0,TRIM($P163&amp;""),"line ≠ qty×unit, a required cell empty, or qty/£ non-positive"))</f>
        <v>PASS</v>
      </c>
      <c r="P163" s="70"/>
      <c r="Q163" s="16" t="str">
        <f aca="false">IF(AND(LEN(TRIM(B163&amp;""))&gt;0,TRIM(B163&amp;"")&lt;&gt;"—",LEN(TRIM(C163&amp;""))&gt;0,TRIM(C163&amp;"")&lt;&gt;"—",ISNUMBER(C163),LEN(TRIM(F163&amp;""))&gt;0,TRIM(F163&amp;"")&lt;&gt;"—",LEN(TRIM(I163&amp;""))&gt;0,TRIM(I163&amp;"")&lt;&gt;"—",LEN(TRIM(J163&amp;""))&gt;0,TRIM(J163&amp;"")&lt;&gt;"—",LEN(TRIM(O163&amp;""))&gt;0,TRIM(O163&amp;"")&lt;&gt;"—"),"PASS","⚠ FAIL — "&amp;"a required cell is empty/placeholder or wrong type")</f>
        <v>PASS</v>
      </c>
    </row>
    <row r="164" customFormat="false" ht="15" hidden="true" customHeight="false" outlineLevel="1" collapsed="false">
      <c r="A164" s="11" t="s">
        <v>728</v>
      </c>
      <c r="B164" s="68" t="s">
        <v>594</v>
      </c>
      <c r="C164" s="28" t="n">
        <v>1</v>
      </c>
      <c r="D164" s="11" t="s">
        <v>479</v>
      </c>
      <c r="E164" s="11" t="s">
        <v>480</v>
      </c>
      <c r="F164" s="11" t="s">
        <v>436</v>
      </c>
      <c r="G164" s="15" t="s">
        <v>481</v>
      </c>
      <c r="H164" s="15"/>
      <c r="I164" s="11" t="n">
        <v>5</v>
      </c>
      <c r="J164" s="11" t="s">
        <v>432</v>
      </c>
      <c r="O164" s="69" t="str">
        <f aca="false">IF(AND(LEN(TRIM($B164&amp;""))&gt;0,LEN(TRIM($P164&amp;""))=0),"PASS","FAIL — "&amp;IF(LEN(TRIM($P164&amp;""))&gt;0,TRIM($P164&amp;""),"line ≠ qty×unit, a required cell empty, or qty/£ non-positive"))</f>
        <v>PASS</v>
      </c>
      <c r="P164" s="70"/>
      <c r="Q164" s="16" t="str">
        <f aca="false">IF(AND(LEN(TRIM(B164&amp;""))&gt;0,TRIM(B164&amp;"")&lt;&gt;"—",LEN(TRIM(C164&amp;""))&gt;0,TRIM(C164&amp;"")&lt;&gt;"—",ISNUMBER(C164),LEN(TRIM(F164&amp;""))&gt;0,TRIM(F164&amp;"")&lt;&gt;"—",LEN(TRIM(I164&amp;""))&gt;0,TRIM(I164&amp;"")&lt;&gt;"—",LEN(TRIM(J164&amp;""))&gt;0,TRIM(J164&amp;"")&lt;&gt;"—",LEN(TRIM(O164&amp;""))&gt;0,TRIM(O164&amp;"")&lt;&gt;"—"),"PASS","⚠ FAIL — "&amp;"a required cell is empty/placeholder or wrong type")</f>
        <v>PASS</v>
      </c>
    </row>
    <row r="165" customFormat="false" ht="15" hidden="true" customHeight="false" outlineLevel="1" collapsed="false">
      <c r="A165" s="11" t="s">
        <v>729</v>
      </c>
      <c r="B165" s="68" t="s">
        <v>596</v>
      </c>
      <c r="C165" s="28" t="n">
        <v>1</v>
      </c>
      <c r="D165" s="11" t="s">
        <v>479</v>
      </c>
      <c r="E165" s="11" t="s">
        <v>480</v>
      </c>
      <c r="F165" s="11" t="s">
        <v>436</v>
      </c>
      <c r="G165" s="15" t="s">
        <v>481</v>
      </c>
      <c r="H165" s="15"/>
      <c r="I165" s="11" t="n">
        <v>5</v>
      </c>
      <c r="J165" s="11" t="s">
        <v>432</v>
      </c>
      <c r="O165" s="69" t="str">
        <f aca="false">IF(AND(LEN(TRIM($B165&amp;""))&gt;0,LEN(TRIM($P165&amp;""))=0),"PASS","FAIL — "&amp;IF(LEN(TRIM($P165&amp;""))&gt;0,TRIM($P165&amp;""),"line ≠ qty×unit, a required cell empty, or qty/£ non-positive"))</f>
        <v>PASS</v>
      </c>
      <c r="P165" s="70"/>
      <c r="Q165" s="16" t="str">
        <f aca="false">IF(AND(LEN(TRIM(B165&amp;""))&gt;0,TRIM(B165&amp;"")&lt;&gt;"—",LEN(TRIM(C165&amp;""))&gt;0,TRIM(C165&amp;"")&lt;&gt;"—",ISNUMBER(C165),LEN(TRIM(F165&amp;""))&gt;0,TRIM(F165&amp;"")&lt;&gt;"—",LEN(TRIM(I165&amp;""))&gt;0,TRIM(I165&amp;"")&lt;&gt;"—",LEN(TRIM(J165&amp;""))&gt;0,TRIM(J165&amp;"")&lt;&gt;"—",LEN(TRIM(O165&amp;""))&gt;0,TRIM(O165&amp;"")&lt;&gt;"—"),"PASS","⚠ FAIL — "&amp;"a required cell is empty/placeholder or wrong type")</f>
        <v>PASS</v>
      </c>
    </row>
    <row r="166" customFormat="false" ht="15" hidden="true" customHeight="false" outlineLevel="1" collapsed="false">
      <c r="A166" s="11" t="s">
        <v>730</v>
      </c>
      <c r="B166" s="68" t="s">
        <v>598</v>
      </c>
      <c r="C166" s="28" t="n">
        <v>1</v>
      </c>
      <c r="D166" s="11" t="s">
        <v>479</v>
      </c>
      <c r="E166" s="11" t="s">
        <v>480</v>
      </c>
      <c r="F166" s="11" t="s">
        <v>436</v>
      </c>
      <c r="G166" s="15" t="s">
        <v>481</v>
      </c>
      <c r="H166" s="15"/>
      <c r="I166" s="11" t="n">
        <v>5</v>
      </c>
      <c r="J166" s="11" t="s">
        <v>432</v>
      </c>
      <c r="O166" s="69" t="str">
        <f aca="false">IF(AND(LEN(TRIM($B166&amp;""))&gt;0,LEN(TRIM($P166&amp;""))=0),"PASS","FAIL — "&amp;IF(LEN(TRIM($P166&amp;""))&gt;0,TRIM($P166&amp;""),"line ≠ qty×unit, a required cell empty, or qty/£ non-positive"))</f>
        <v>PASS</v>
      </c>
      <c r="P166" s="70"/>
      <c r="Q166" s="16" t="str">
        <f aca="false">IF(AND(LEN(TRIM(B166&amp;""))&gt;0,TRIM(B166&amp;"")&lt;&gt;"—",LEN(TRIM(C166&amp;""))&gt;0,TRIM(C166&amp;"")&lt;&gt;"—",ISNUMBER(C166),LEN(TRIM(F166&amp;""))&gt;0,TRIM(F166&amp;"")&lt;&gt;"—",LEN(TRIM(I166&amp;""))&gt;0,TRIM(I166&amp;"")&lt;&gt;"—",LEN(TRIM(J166&amp;""))&gt;0,TRIM(J166&amp;"")&lt;&gt;"—",LEN(TRIM(O166&amp;""))&gt;0,TRIM(O166&amp;"")&lt;&gt;"—"),"PASS","⚠ FAIL — "&amp;"a required cell is empty/placeholder or wrong type")</f>
        <v>PASS</v>
      </c>
    </row>
    <row r="167" customFormat="false" ht="53.7" hidden="false" customHeight="false" outlineLevel="0" collapsed="false">
      <c r="A167" s="11" t="str">
        <f aca="false">'Part names'!$A$24</f>
        <v>M-101</v>
      </c>
      <c r="B167" s="68" t="str">
        <f aca="false">'Part names'!$B$24 &amp; "  · 45 m³/h · 700x595x770 mm"</f>
        <v>Distribution Manifold  · 45 m³/h · 700x595x770 mm</v>
      </c>
      <c r="C167" s="28" t="n">
        <v>2</v>
      </c>
      <c r="D167" s="36" t="n">
        <v>1725</v>
      </c>
      <c r="E167" s="36" t="n">
        <v>3450</v>
      </c>
      <c r="F167" s="11" t="s">
        <v>429</v>
      </c>
      <c r="G167" s="15" t="s">
        <v>711</v>
      </c>
      <c r="H167" s="15" t="s">
        <v>438</v>
      </c>
      <c r="I167" s="11" t="n">
        <v>4</v>
      </c>
      <c r="J167" s="11" t="s">
        <v>432</v>
      </c>
      <c r="K167" s="15" t="s">
        <v>731</v>
      </c>
      <c r="L167" s="68" t="s">
        <v>512</v>
      </c>
      <c r="M167" s="15" t="s">
        <v>732</v>
      </c>
      <c r="N167" s="68" t="s">
        <v>476</v>
      </c>
      <c r="O167" s="69" t="str">
        <f aca="false">IF(AND(LEN(TRIM($B167&amp;""))&gt;0,ISNUMBER($C167),$C167&gt;0,ISNUMBER($D167),$D167&gt;0,ISNUMBER($E167),$E167&gt;0,ABS($E167-$C167*$D167)&lt;=MAX(1,0.005*ABS($E167)),LEN(TRIM($M167&amp;""))&gt;0,TRIM($M167&amp;"")&lt;&gt;"—",LEN(TRIM($P167&amp;""))=0),"PASS","FAIL — "&amp;IF(LEN(TRIM($P167&amp;""))&gt;0,TRIM($P167&amp;""),"line ≠ qty×unit, a required cell empty, or qty/£ non-positive"))</f>
        <v>PASS</v>
      </c>
      <c r="P167" s="70"/>
      <c r="Q167" s="16" t="str">
        <f aca="false">IF(AND(LEN(TRIM(A167&amp;""))&gt;0,TRIM(A167&amp;"")&lt;&gt;"—",LEN(TRIM(B167&amp;""))&gt;0,TRIM(B167&amp;"")&lt;&gt;"—",LEN(TRIM(C167&amp;""))&gt;0,TRIM(C167&amp;"")&lt;&gt;"—",ISNUMBER(C167),LEN(TRIM(D167&amp;""))&gt;0,TRIM(D167&amp;"")&lt;&gt;"—",ISNUMBER(D167),LEN(TRIM(E167&amp;""))&gt;0,TRIM(E167&amp;"")&lt;&gt;"—",ISNUMBER(E167),LEN(TRIM(F167&amp;""))&gt;0,TRIM(F167&amp;"")&lt;&gt;"—",LEN(TRIM(I167&amp;""))&gt;0,TRIM(I167&amp;"")&lt;&gt;"—",LEN(TRIM(J167&amp;""))&gt;0,TRIM(J167&amp;"")&lt;&gt;"—",LEN(TRIM(O167&amp;""))&gt;0,TRIM(O167&amp;"")&lt;&gt;"—"),"PASS","⚠ FAIL — "&amp;"a required cell is empty/placeholder or wrong type")</f>
        <v>PASS</v>
      </c>
    </row>
    <row r="168" customFormat="false" ht="32.8" hidden="false" customHeight="false" outlineLevel="0" collapsed="true">
      <c r="A168" s="11" t="str">
        <f aca="false">'Part names'!$A$81</f>
        <v>Z-101</v>
      </c>
      <c r="B168" s="68" t="str">
        <f aca="false">'Part names'!$B$81 &amp; "  · 2.3 m dia x 2.4 m"</f>
        <v>Reverse Osmosis Skid  · 2.3 m dia x 2.4 m</v>
      </c>
      <c r="C168" s="28" t="n">
        <v>1</v>
      </c>
      <c r="D168" s="36" t="n">
        <v>8737</v>
      </c>
      <c r="E168" s="36" t="n">
        <v>8737</v>
      </c>
      <c r="F168" s="11" t="s">
        <v>429</v>
      </c>
      <c r="G168" s="15" t="s">
        <v>733</v>
      </c>
      <c r="H168" s="15" t="s">
        <v>678</v>
      </c>
      <c r="I168" s="11" t="n">
        <v>4</v>
      </c>
      <c r="J168" s="11" t="s">
        <v>432</v>
      </c>
      <c r="K168" s="15" t="s">
        <v>734</v>
      </c>
      <c r="L168" s="68" t="s">
        <v>680</v>
      </c>
      <c r="M168" s="15" t="s">
        <v>735</v>
      </c>
      <c r="N168" s="68" t="s">
        <v>476</v>
      </c>
      <c r="O168" s="69" t="str">
        <f aca="false">IF(AND(LEN(TRIM($B168&amp;""))&gt;0,ISNUMBER($C168),$C168&gt;0,ISNUMBER($D168),$D168&gt;0,ISNUMBER($E168),$E168&gt;0,ABS($E168-$C168*$D168)&lt;=MAX(1,0.005*ABS($E168)),LEN(TRIM($M168&amp;""))&gt;0,TRIM($M168&amp;"")&lt;&gt;"—",LEN(TRIM($P168&amp;""))=0),"PASS","FAIL — "&amp;IF(LEN(TRIM($P168&amp;""))&gt;0,TRIM($P168&amp;""),"line ≠ qty×unit, a required cell empty, or qty/£ non-positive"))</f>
        <v>PASS</v>
      </c>
      <c r="P168" s="70"/>
      <c r="Q168" s="16" t="str">
        <f aca="false">IF(AND(LEN(TRIM(A168&amp;""))&gt;0,TRIM(A168&amp;"")&lt;&gt;"—",LEN(TRIM(B168&amp;""))&gt;0,TRIM(B168&amp;"")&lt;&gt;"—",LEN(TRIM(C168&amp;""))&gt;0,TRIM(C168&amp;"")&lt;&gt;"—",ISNUMBER(C168),LEN(TRIM(D168&amp;""))&gt;0,TRIM(D168&amp;"")&lt;&gt;"—",ISNUMBER(D168),LEN(TRIM(E168&amp;""))&gt;0,TRIM(E168&amp;"")&lt;&gt;"—",ISNUMBER(E168),LEN(TRIM(F168&amp;""))&gt;0,TRIM(F168&amp;"")&lt;&gt;"—",LEN(TRIM(I168&amp;""))&gt;0,TRIM(I168&amp;"")&lt;&gt;"—",LEN(TRIM(J168&amp;""))&gt;0,TRIM(J168&amp;"")&lt;&gt;"—",LEN(TRIM(O168&amp;""))&gt;0,TRIM(O168&amp;"")&lt;&gt;"—"),"PASS","⚠ FAIL — "&amp;"a required cell is empty/placeholder or wrong type")</f>
        <v>PASS</v>
      </c>
    </row>
    <row r="169" customFormat="false" ht="15" hidden="true" customHeight="false" outlineLevel="1" collapsed="false">
      <c r="A169" s="11" t="s">
        <v>736</v>
      </c>
      <c r="B169" s="68" t="s">
        <v>478</v>
      </c>
      <c r="C169" s="28" t="n">
        <v>1</v>
      </c>
      <c r="D169" s="11" t="s">
        <v>479</v>
      </c>
      <c r="E169" s="11" t="s">
        <v>480</v>
      </c>
      <c r="F169" s="11" t="s">
        <v>429</v>
      </c>
      <c r="G169" s="15" t="s">
        <v>481</v>
      </c>
      <c r="H169" s="15"/>
      <c r="I169" s="11" t="n">
        <v>4</v>
      </c>
      <c r="J169" s="11" t="s">
        <v>432</v>
      </c>
      <c r="O169" s="69" t="str">
        <f aca="false">IF(AND(LEN(TRIM($B169&amp;""))&gt;0,LEN(TRIM($P169&amp;""))=0),"PASS","FAIL — "&amp;IF(LEN(TRIM($P169&amp;""))&gt;0,TRIM($P169&amp;""),"line ≠ qty×unit, a required cell empty, or qty/£ non-positive"))</f>
        <v>PASS</v>
      </c>
      <c r="P169" s="70"/>
      <c r="Q169" s="16" t="str">
        <f aca="false">IF(AND(LEN(TRIM(B169&amp;""))&gt;0,TRIM(B169&amp;"")&lt;&gt;"—",LEN(TRIM(C169&amp;""))&gt;0,TRIM(C169&amp;"")&lt;&gt;"—",ISNUMBER(C169),LEN(TRIM(F169&amp;""))&gt;0,TRIM(F169&amp;"")&lt;&gt;"—",LEN(TRIM(I169&amp;""))&gt;0,TRIM(I169&amp;"")&lt;&gt;"—",LEN(TRIM(J169&amp;""))&gt;0,TRIM(J169&amp;"")&lt;&gt;"—",LEN(TRIM(O169&amp;""))&gt;0,TRIM(O169&amp;"")&lt;&gt;"—"),"PASS","⚠ FAIL — "&amp;"a required cell is empty/placeholder or wrong type")</f>
        <v>PASS</v>
      </c>
    </row>
    <row r="170" customFormat="false" ht="15" hidden="true" customHeight="false" outlineLevel="1" collapsed="false">
      <c r="A170" s="11" t="s">
        <v>737</v>
      </c>
      <c r="B170" s="68" t="s">
        <v>483</v>
      </c>
      <c r="C170" s="28" t="n">
        <v>1</v>
      </c>
      <c r="D170" s="11" t="s">
        <v>479</v>
      </c>
      <c r="E170" s="11" t="s">
        <v>480</v>
      </c>
      <c r="F170" s="11" t="s">
        <v>436</v>
      </c>
      <c r="G170" s="15" t="s">
        <v>481</v>
      </c>
      <c r="H170" s="15"/>
      <c r="I170" s="11" t="n">
        <v>5</v>
      </c>
      <c r="J170" s="11" t="s">
        <v>432</v>
      </c>
      <c r="O170" s="69" t="str">
        <f aca="false">IF(AND(LEN(TRIM($B170&amp;""))&gt;0,LEN(TRIM($P170&amp;""))=0),"PASS","FAIL — "&amp;IF(LEN(TRIM($P170&amp;""))&gt;0,TRIM($P170&amp;""),"line ≠ qty×unit, a required cell empty, or qty/£ non-positive"))</f>
        <v>PASS</v>
      </c>
      <c r="P170" s="70"/>
      <c r="Q170" s="16" t="str">
        <f aca="false">IF(AND(LEN(TRIM(B170&amp;""))&gt;0,TRIM(B170&amp;"")&lt;&gt;"—",LEN(TRIM(C170&amp;""))&gt;0,TRIM(C170&amp;"")&lt;&gt;"—",ISNUMBER(C170),LEN(TRIM(F170&amp;""))&gt;0,TRIM(F170&amp;"")&lt;&gt;"—",LEN(TRIM(I170&amp;""))&gt;0,TRIM(I170&amp;"")&lt;&gt;"—",LEN(TRIM(J170&amp;""))&gt;0,TRIM(J170&amp;"")&lt;&gt;"—",LEN(TRIM(O170&amp;""))&gt;0,TRIM(O170&amp;"")&lt;&gt;"—"),"PASS","⚠ FAIL — "&amp;"a required cell is empty/placeholder or wrong type")</f>
        <v>PASS</v>
      </c>
    </row>
    <row r="171" customFormat="false" ht="15" hidden="true" customHeight="false" outlineLevel="1" collapsed="false">
      <c r="A171" s="11" t="s">
        <v>738</v>
      </c>
      <c r="B171" s="68" t="s">
        <v>485</v>
      </c>
      <c r="C171" s="28" t="n">
        <v>1</v>
      </c>
      <c r="D171" s="11" t="s">
        <v>479</v>
      </c>
      <c r="E171" s="11" t="s">
        <v>480</v>
      </c>
      <c r="F171" s="11" t="s">
        <v>436</v>
      </c>
      <c r="G171" s="15" t="s">
        <v>481</v>
      </c>
      <c r="H171" s="15"/>
      <c r="I171" s="11" t="n">
        <v>5</v>
      </c>
      <c r="J171" s="11" t="s">
        <v>432</v>
      </c>
      <c r="O171" s="69" t="str">
        <f aca="false">IF(AND(LEN(TRIM($B171&amp;""))&gt;0,LEN(TRIM($P171&amp;""))=0),"PASS","FAIL — "&amp;IF(LEN(TRIM($P171&amp;""))&gt;0,TRIM($P171&amp;""),"line ≠ qty×unit, a required cell empty, or qty/£ non-positive"))</f>
        <v>PASS</v>
      </c>
      <c r="P171" s="70"/>
      <c r="Q171" s="16" t="str">
        <f aca="false">IF(AND(LEN(TRIM(B171&amp;""))&gt;0,TRIM(B171&amp;"")&lt;&gt;"—",LEN(TRIM(C171&amp;""))&gt;0,TRIM(C171&amp;"")&lt;&gt;"—",ISNUMBER(C171),LEN(TRIM(F171&amp;""))&gt;0,TRIM(F171&amp;"")&lt;&gt;"—",LEN(TRIM(I171&amp;""))&gt;0,TRIM(I171&amp;"")&lt;&gt;"—",LEN(TRIM(J171&amp;""))&gt;0,TRIM(J171&amp;"")&lt;&gt;"—",LEN(TRIM(O171&amp;""))&gt;0,TRIM(O171&amp;"")&lt;&gt;"—"),"PASS","⚠ FAIL — "&amp;"a required cell is empty/placeholder or wrong type")</f>
        <v>PASS</v>
      </c>
    </row>
    <row r="172" customFormat="false" ht="15" hidden="true" customHeight="false" outlineLevel="1" collapsed="false">
      <c r="A172" s="11" t="s">
        <v>739</v>
      </c>
      <c r="B172" s="68" t="s">
        <v>487</v>
      </c>
      <c r="C172" s="28" t="n">
        <v>1</v>
      </c>
      <c r="D172" s="11" t="s">
        <v>479</v>
      </c>
      <c r="E172" s="11" t="s">
        <v>480</v>
      </c>
      <c r="F172" s="11" t="s">
        <v>436</v>
      </c>
      <c r="G172" s="15" t="s">
        <v>481</v>
      </c>
      <c r="H172" s="15"/>
      <c r="I172" s="11" t="n">
        <v>5</v>
      </c>
      <c r="J172" s="11" t="s">
        <v>432</v>
      </c>
      <c r="O172" s="69" t="str">
        <f aca="false">IF(AND(LEN(TRIM($B172&amp;""))&gt;0,LEN(TRIM($P172&amp;""))=0),"PASS","FAIL — "&amp;IF(LEN(TRIM($P172&amp;""))&gt;0,TRIM($P172&amp;""),"line ≠ qty×unit, a required cell empty, or qty/£ non-positive"))</f>
        <v>PASS</v>
      </c>
      <c r="P172" s="70"/>
      <c r="Q172" s="16" t="str">
        <f aca="false">IF(AND(LEN(TRIM(B172&amp;""))&gt;0,TRIM(B172&amp;"")&lt;&gt;"—",LEN(TRIM(C172&amp;""))&gt;0,TRIM(C172&amp;"")&lt;&gt;"—",ISNUMBER(C172),LEN(TRIM(F172&amp;""))&gt;0,TRIM(F172&amp;"")&lt;&gt;"—",LEN(TRIM(I172&amp;""))&gt;0,TRIM(I172&amp;"")&lt;&gt;"—",LEN(TRIM(J172&amp;""))&gt;0,TRIM(J172&amp;"")&lt;&gt;"—",LEN(TRIM(O172&amp;""))&gt;0,TRIM(O172&amp;"")&lt;&gt;"—"),"PASS","⚠ FAIL — "&amp;"a required cell is empty/placeholder or wrong type")</f>
        <v>PASS</v>
      </c>
    </row>
    <row r="173" customFormat="false" ht="15" hidden="true" customHeight="false" outlineLevel="1" collapsed="false">
      <c r="A173" s="11" t="s">
        <v>740</v>
      </c>
      <c r="B173" s="68" t="s">
        <v>489</v>
      </c>
      <c r="C173" s="28" t="n">
        <v>1</v>
      </c>
      <c r="D173" s="11" t="s">
        <v>479</v>
      </c>
      <c r="E173" s="11" t="s">
        <v>480</v>
      </c>
      <c r="F173" s="11" t="s">
        <v>429</v>
      </c>
      <c r="G173" s="15" t="s">
        <v>481</v>
      </c>
      <c r="H173" s="15"/>
      <c r="I173" s="11" t="n">
        <v>4</v>
      </c>
      <c r="J173" s="11" t="s">
        <v>432</v>
      </c>
      <c r="O173" s="69" t="str">
        <f aca="false">IF(AND(LEN(TRIM($B173&amp;""))&gt;0,LEN(TRIM($P173&amp;""))=0),"PASS","FAIL — "&amp;IF(LEN(TRIM($P173&amp;""))&gt;0,TRIM($P173&amp;""),"line ≠ qty×unit, a required cell empty, or qty/£ non-positive"))</f>
        <v>PASS</v>
      </c>
      <c r="P173" s="70"/>
      <c r="Q173" s="16" t="str">
        <f aca="false">IF(AND(LEN(TRIM(B173&amp;""))&gt;0,TRIM(B173&amp;"")&lt;&gt;"—",LEN(TRIM(C173&amp;""))&gt;0,TRIM(C173&amp;"")&lt;&gt;"—",ISNUMBER(C173),LEN(TRIM(F173&amp;""))&gt;0,TRIM(F173&amp;"")&lt;&gt;"—",LEN(TRIM(I173&amp;""))&gt;0,TRIM(I173&amp;"")&lt;&gt;"—",LEN(TRIM(J173&amp;""))&gt;0,TRIM(J173&amp;"")&lt;&gt;"—",LEN(TRIM(O173&amp;""))&gt;0,TRIM(O173&amp;"")&lt;&gt;"—"),"PASS","⚠ FAIL — "&amp;"a required cell is empty/placeholder or wrong type")</f>
        <v>PASS</v>
      </c>
    </row>
    <row r="174" customFormat="false" ht="15" hidden="true" customHeight="false" outlineLevel="1" collapsed="false">
      <c r="A174" s="11" t="s">
        <v>741</v>
      </c>
      <c r="B174" s="68" t="s">
        <v>491</v>
      </c>
      <c r="C174" s="28" t="n">
        <v>1</v>
      </c>
      <c r="D174" s="11" t="s">
        <v>479</v>
      </c>
      <c r="E174" s="11" t="s">
        <v>480</v>
      </c>
      <c r="F174" s="11" t="s">
        <v>436</v>
      </c>
      <c r="G174" s="15" t="s">
        <v>481</v>
      </c>
      <c r="H174" s="15"/>
      <c r="I174" s="11" t="n">
        <v>5</v>
      </c>
      <c r="J174" s="11" t="s">
        <v>432</v>
      </c>
      <c r="O174" s="69" t="str">
        <f aca="false">IF(AND(LEN(TRIM($B174&amp;""))&gt;0,LEN(TRIM($P174&amp;""))=0),"PASS","FAIL — "&amp;IF(LEN(TRIM($P174&amp;""))&gt;0,TRIM($P174&amp;""),"line ≠ qty×unit, a required cell empty, or qty/£ non-positive"))</f>
        <v>PASS</v>
      </c>
      <c r="P174" s="70"/>
      <c r="Q174" s="16" t="str">
        <f aca="false">IF(AND(LEN(TRIM(B174&amp;""))&gt;0,TRIM(B174&amp;"")&lt;&gt;"—",LEN(TRIM(C174&amp;""))&gt;0,TRIM(C174&amp;"")&lt;&gt;"—",ISNUMBER(C174),LEN(TRIM(F174&amp;""))&gt;0,TRIM(F174&amp;"")&lt;&gt;"—",LEN(TRIM(I174&amp;""))&gt;0,TRIM(I174&amp;"")&lt;&gt;"—",LEN(TRIM(J174&amp;""))&gt;0,TRIM(J174&amp;"")&lt;&gt;"—",LEN(TRIM(O174&amp;""))&gt;0,TRIM(O174&amp;"")&lt;&gt;"—"),"PASS","⚠ FAIL — "&amp;"a required cell is empty/placeholder or wrong type")</f>
        <v>PASS</v>
      </c>
    </row>
    <row r="175" customFormat="false" ht="15" hidden="true" customHeight="false" outlineLevel="1" collapsed="false">
      <c r="A175" s="11" t="s">
        <v>742</v>
      </c>
      <c r="B175" s="68" t="s">
        <v>493</v>
      </c>
      <c r="C175" s="28" t="n">
        <v>1</v>
      </c>
      <c r="D175" s="11" t="s">
        <v>479</v>
      </c>
      <c r="E175" s="11" t="s">
        <v>480</v>
      </c>
      <c r="F175" s="11" t="s">
        <v>436</v>
      </c>
      <c r="G175" s="15" t="s">
        <v>481</v>
      </c>
      <c r="H175" s="15"/>
      <c r="I175" s="11" t="n">
        <v>5</v>
      </c>
      <c r="J175" s="11" t="s">
        <v>432</v>
      </c>
      <c r="O175" s="69" t="str">
        <f aca="false">IF(AND(LEN(TRIM($B175&amp;""))&gt;0,LEN(TRIM($P175&amp;""))=0),"PASS","FAIL — "&amp;IF(LEN(TRIM($P175&amp;""))&gt;0,TRIM($P175&amp;""),"line ≠ qty×unit, a required cell empty, or qty/£ non-positive"))</f>
        <v>PASS</v>
      </c>
      <c r="P175" s="70"/>
      <c r="Q175" s="16" t="str">
        <f aca="false">IF(AND(LEN(TRIM(B175&amp;""))&gt;0,TRIM(B175&amp;"")&lt;&gt;"—",LEN(TRIM(C175&amp;""))&gt;0,TRIM(C175&amp;"")&lt;&gt;"—",ISNUMBER(C175),LEN(TRIM(F175&amp;""))&gt;0,TRIM(F175&amp;"")&lt;&gt;"—",LEN(TRIM(I175&amp;""))&gt;0,TRIM(I175&amp;"")&lt;&gt;"—",LEN(TRIM(J175&amp;""))&gt;0,TRIM(J175&amp;"")&lt;&gt;"—",LEN(TRIM(O175&amp;""))&gt;0,TRIM(O175&amp;"")&lt;&gt;"—"),"PASS","⚠ FAIL — "&amp;"a required cell is empty/placeholder or wrong type")</f>
        <v>PASS</v>
      </c>
    </row>
    <row r="176" customFormat="false" ht="15" hidden="true" customHeight="false" outlineLevel="1" collapsed="false">
      <c r="A176" s="11" t="s">
        <v>743</v>
      </c>
      <c r="B176" s="68" t="s">
        <v>495</v>
      </c>
      <c r="C176" s="28" t="n">
        <v>1</v>
      </c>
      <c r="D176" s="11" t="s">
        <v>479</v>
      </c>
      <c r="E176" s="11" t="s">
        <v>480</v>
      </c>
      <c r="F176" s="11" t="s">
        <v>429</v>
      </c>
      <c r="G176" s="15" t="s">
        <v>481</v>
      </c>
      <c r="H176" s="15"/>
      <c r="I176" s="11" t="n">
        <v>4</v>
      </c>
      <c r="J176" s="11" t="s">
        <v>432</v>
      </c>
      <c r="O176" s="69" t="str">
        <f aca="false">IF(AND(LEN(TRIM($B176&amp;""))&gt;0,LEN(TRIM($P176&amp;""))=0),"PASS","FAIL — "&amp;IF(LEN(TRIM($P176&amp;""))&gt;0,TRIM($P176&amp;""),"line ≠ qty×unit, a required cell empty, or qty/£ non-positive"))</f>
        <v>PASS</v>
      </c>
      <c r="P176" s="70"/>
      <c r="Q176" s="16" t="str">
        <f aca="false">IF(AND(LEN(TRIM(B176&amp;""))&gt;0,TRIM(B176&amp;"")&lt;&gt;"—",LEN(TRIM(C176&amp;""))&gt;0,TRIM(C176&amp;"")&lt;&gt;"—",ISNUMBER(C176),LEN(TRIM(F176&amp;""))&gt;0,TRIM(F176&amp;"")&lt;&gt;"—",LEN(TRIM(I176&amp;""))&gt;0,TRIM(I176&amp;"")&lt;&gt;"—",LEN(TRIM(J176&amp;""))&gt;0,TRIM(J176&amp;"")&lt;&gt;"—",LEN(TRIM(O176&amp;""))&gt;0,TRIM(O176&amp;"")&lt;&gt;"—"),"PASS","⚠ FAIL — "&amp;"a required cell is empty/placeholder or wrong type")</f>
        <v>PASS</v>
      </c>
    </row>
    <row r="177" customFormat="false" ht="15" hidden="true" customHeight="false" outlineLevel="1" collapsed="false">
      <c r="A177" s="11" t="s">
        <v>744</v>
      </c>
      <c r="B177" s="68" t="s">
        <v>497</v>
      </c>
      <c r="C177" s="28" t="n">
        <v>1</v>
      </c>
      <c r="D177" s="11" t="s">
        <v>479</v>
      </c>
      <c r="E177" s="11" t="s">
        <v>480</v>
      </c>
      <c r="F177" s="11" t="s">
        <v>429</v>
      </c>
      <c r="G177" s="15" t="s">
        <v>481</v>
      </c>
      <c r="H177" s="15"/>
      <c r="I177" s="11" t="n">
        <v>4</v>
      </c>
      <c r="J177" s="11" t="s">
        <v>432</v>
      </c>
      <c r="O177" s="69" t="str">
        <f aca="false">IF(AND(LEN(TRIM($B177&amp;""))&gt;0,LEN(TRIM($P177&amp;""))=0),"PASS","FAIL — "&amp;IF(LEN(TRIM($P177&amp;""))&gt;0,TRIM($P177&amp;""),"line ≠ qty×unit, a required cell empty, or qty/£ non-positive"))</f>
        <v>PASS</v>
      </c>
      <c r="P177" s="70"/>
      <c r="Q177" s="16" t="str">
        <f aca="false">IF(AND(LEN(TRIM(B177&amp;""))&gt;0,TRIM(B177&amp;"")&lt;&gt;"—",LEN(TRIM(C177&amp;""))&gt;0,TRIM(C177&amp;"")&lt;&gt;"—",ISNUMBER(C177),LEN(TRIM(F177&amp;""))&gt;0,TRIM(F177&amp;"")&lt;&gt;"—",LEN(TRIM(I177&amp;""))&gt;0,TRIM(I177&amp;"")&lt;&gt;"—",LEN(TRIM(J177&amp;""))&gt;0,TRIM(J177&amp;"")&lt;&gt;"—",LEN(TRIM(O177&amp;""))&gt;0,TRIM(O177&amp;"")&lt;&gt;"—"),"PASS","⚠ FAIL — "&amp;"a required cell is empty/placeholder or wrong type")</f>
        <v>PASS</v>
      </c>
    </row>
    <row r="178" customFormat="false" ht="15" hidden="true" customHeight="false" outlineLevel="1" collapsed="false">
      <c r="A178" s="11" t="s">
        <v>745</v>
      </c>
      <c r="B178" s="68" t="s">
        <v>499</v>
      </c>
      <c r="C178" s="28" t="n">
        <v>1</v>
      </c>
      <c r="D178" s="11" t="s">
        <v>479</v>
      </c>
      <c r="E178" s="11" t="s">
        <v>480</v>
      </c>
      <c r="F178" s="11" t="s">
        <v>436</v>
      </c>
      <c r="G178" s="15" t="s">
        <v>481</v>
      </c>
      <c r="H178" s="15"/>
      <c r="I178" s="11" t="n">
        <v>5</v>
      </c>
      <c r="J178" s="11" t="s">
        <v>432</v>
      </c>
      <c r="O178" s="69" t="str">
        <f aca="false">IF(AND(LEN(TRIM($B178&amp;""))&gt;0,LEN(TRIM($P178&amp;""))=0),"PASS","FAIL — "&amp;IF(LEN(TRIM($P178&amp;""))&gt;0,TRIM($P178&amp;""),"line ≠ qty×unit, a required cell empty, or qty/£ non-positive"))</f>
        <v>PASS</v>
      </c>
      <c r="P178" s="70"/>
      <c r="Q178" s="16" t="str">
        <f aca="false">IF(AND(LEN(TRIM(B178&amp;""))&gt;0,TRIM(B178&amp;"")&lt;&gt;"—",LEN(TRIM(C178&amp;""))&gt;0,TRIM(C178&amp;"")&lt;&gt;"—",ISNUMBER(C178),LEN(TRIM(F178&amp;""))&gt;0,TRIM(F178&amp;"")&lt;&gt;"—",LEN(TRIM(I178&amp;""))&gt;0,TRIM(I178&amp;"")&lt;&gt;"—",LEN(TRIM(J178&amp;""))&gt;0,TRIM(J178&amp;"")&lt;&gt;"—",LEN(TRIM(O178&amp;""))&gt;0,TRIM(O178&amp;"")&lt;&gt;"—"),"PASS","⚠ FAIL — "&amp;"a required cell is empty/placeholder or wrong type")</f>
        <v>PASS</v>
      </c>
    </row>
    <row r="179" customFormat="false" ht="32.8" hidden="false" customHeight="false" outlineLevel="0" collapsed="true">
      <c r="A179" s="11" t="str">
        <f aca="false">'Part names'!$A$82</f>
        <v>P-101</v>
      </c>
      <c r="B179" s="68" t="str">
        <f aca="false">'Part names'!$B$82 &amp; "  · 4 kW · 600x510x660 mm"</f>
        <v>Ro High Pressure Pump  · 4 kW · 600x510x660 mm</v>
      </c>
      <c r="C179" s="28" t="n">
        <v>1</v>
      </c>
      <c r="D179" s="36" t="n">
        <v>3850</v>
      </c>
      <c r="E179" s="36" t="n">
        <v>3850</v>
      </c>
      <c r="F179" s="11" t="s">
        <v>429</v>
      </c>
      <c r="G179" s="15" t="s">
        <v>746</v>
      </c>
      <c r="H179" s="15"/>
      <c r="I179" s="11" t="n">
        <v>4</v>
      </c>
      <c r="J179" s="11" t="s">
        <v>432</v>
      </c>
      <c r="K179" s="15" t="s">
        <v>747</v>
      </c>
      <c r="L179" s="68" t="s">
        <v>512</v>
      </c>
      <c r="M179" s="15" t="s">
        <v>748</v>
      </c>
      <c r="N179" s="71" t="s">
        <v>435</v>
      </c>
      <c r="O179" s="69" t="str">
        <f aca="false">IF(AND(LEN(TRIM($B179&amp;""))&gt;0,ISNUMBER($C179),$C179&gt;0,ISNUMBER($D179),$D179&gt;0,ISNUMBER($E179),$E179&gt;0,ABS($E179-$C179*$D179)&lt;=MAX(1,0.005*ABS($E179)),LEN(TRIM($M179&amp;""))&gt;0,TRIM($M179&amp;"")&lt;&gt;"—",LEN(TRIM($P179&amp;""))=0),"PASS","FAIL — "&amp;IF(LEN(TRIM($P179&amp;""))&gt;0,TRIM($P179&amp;""),"line ≠ qty×unit, a required cell empty, or qty/£ non-positive"))</f>
        <v>PASS</v>
      </c>
      <c r="P179" s="70"/>
      <c r="Q179" s="16" t="str">
        <f aca="false">IF(AND(LEN(TRIM(A179&amp;""))&gt;0,TRIM(A179&amp;"")&lt;&gt;"—",LEN(TRIM(B179&amp;""))&gt;0,TRIM(B179&amp;"")&lt;&gt;"—",LEN(TRIM(C179&amp;""))&gt;0,TRIM(C179&amp;"")&lt;&gt;"—",ISNUMBER(C179),LEN(TRIM(D179&amp;""))&gt;0,TRIM(D179&amp;"")&lt;&gt;"—",ISNUMBER(D179),LEN(TRIM(E179&amp;""))&gt;0,TRIM(E179&amp;"")&lt;&gt;"—",ISNUMBER(E179),LEN(TRIM(F179&amp;""))&gt;0,TRIM(F179&amp;"")&lt;&gt;"—",LEN(TRIM(I179&amp;""))&gt;0,TRIM(I179&amp;"")&lt;&gt;"—",LEN(TRIM(J179&amp;""))&gt;0,TRIM(J179&amp;"")&lt;&gt;"—",LEN(TRIM(O179&amp;""))&gt;0,TRIM(O179&amp;"")&lt;&gt;"—"),"PASS","⚠ FAIL — "&amp;"a required cell is empty/placeholder or wrong type")</f>
        <v>PASS</v>
      </c>
    </row>
    <row r="180" customFormat="false" ht="15" hidden="true" customHeight="false" outlineLevel="1" collapsed="false">
      <c r="A180" s="11" t="s">
        <v>749</v>
      </c>
      <c r="B180" s="68" t="s">
        <v>573</v>
      </c>
      <c r="C180" s="28" t="n">
        <v>1</v>
      </c>
      <c r="D180" s="11" t="s">
        <v>479</v>
      </c>
      <c r="E180" s="11" t="s">
        <v>480</v>
      </c>
      <c r="F180" s="11" t="s">
        <v>436</v>
      </c>
      <c r="G180" s="15" t="s">
        <v>481</v>
      </c>
      <c r="H180" s="15"/>
      <c r="I180" s="11" t="n">
        <v>5</v>
      </c>
      <c r="J180" s="11" t="s">
        <v>432</v>
      </c>
      <c r="O180" s="69" t="str">
        <f aca="false">IF(AND(LEN(TRIM($B180&amp;""))&gt;0,LEN(TRIM($P180&amp;""))=0),"PASS","FAIL — "&amp;IF(LEN(TRIM($P180&amp;""))&gt;0,TRIM($P180&amp;""),"line ≠ qty×unit, a required cell empty, or qty/£ non-positive"))</f>
        <v>PASS</v>
      </c>
      <c r="P180" s="70"/>
      <c r="Q180" s="16" t="str">
        <f aca="false">IF(AND(LEN(TRIM(B180&amp;""))&gt;0,TRIM(B180&amp;"")&lt;&gt;"—",LEN(TRIM(C180&amp;""))&gt;0,TRIM(C180&amp;"")&lt;&gt;"—",ISNUMBER(C180),LEN(TRIM(F180&amp;""))&gt;0,TRIM(F180&amp;"")&lt;&gt;"—",LEN(TRIM(I180&amp;""))&gt;0,TRIM(I180&amp;"")&lt;&gt;"—",LEN(TRIM(J180&amp;""))&gt;0,TRIM(J180&amp;"")&lt;&gt;"—",LEN(TRIM(O180&amp;""))&gt;0,TRIM(O180&amp;"")&lt;&gt;"—"),"PASS","⚠ FAIL — "&amp;"a required cell is empty/placeholder or wrong type")</f>
        <v>PASS</v>
      </c>
    </row>
    <row r="181" customFormat="false" ht="15" hidden="true" customHeight="false" outlineLevel="1" collapsed="false">
      <c r="A181" s="11" t="s">
        <v>750</v>
      </c>
      <c r="B181" s="68" t="s">
        <v>575</v>
      </c>
      <c r="C181" s="28" t="n">
        <v>1</v>
      </c>
      <c r="D181" s="11" t="s">
        <v>479</v>
      </c>
      <c r="E181" s="11" t="s">
        <v>480</v>
      </c>
      <c r="F181" s="11" t="s">
        <v>429</v>
      </c>
      <c r="G181" s="15" t="s">
        <v>481</v>
      </c>
      <c r="H181" s="15"/>
      <c r="I181" s="11" t="n">
        <v>4</v>
      </c>
      <c r="J181" s="11" t="s">
        <v>432</v>
      </c>
      <c r="O181" s="69" t="str">
        <f aca="false">IF(AND(LEN(TRIM($B181&amp;""))&gt;0,LEN(TRIM($P181&amp;""))=0),"PASS","FAIL — "&amp;IF(LEN(TRIM($P181&amp;""))&gt;0,TRIM($P181&amp;""),"line ≠ qty×unit, a required cell empty, or qty/£ non-positive"))</f>
        <v>PASS</v>
      </c>
      <c r="P181" s="70"/>
      <c r="Q181" s="16" t="str">
        <f aca="false">IF(AND(LEN(TRIM(B181&amp;""))&gt;0,TRIM(B181&amp;"")&lt;&gt;"—",LEN(TRIM(C181&amp;""))&gt;0,TRIM(C181&amp;"")&lt;&gt;"—",ISNUMBER(C181),LEN(TRIM(F181&amp;""))&gt;0,TRIM(F181&amp;"")&lt;&gt;"—",LEN(TRIM(I181&amp;""))&gt;0,TRIM(I181&amp;"")&lt;&gt;"—",LEN(TRIM(J181&amp;""))&gt;0,TRIM(J181&amp;"")&lt;&gt;"—",LEN(TRIM(O181&amp;""))&gt;0,TRIM(O181&amp;"")&lt;&gt;"—"),"PASS","⚠ FAIL — "&amp;"a required cell is empty/placeholder or wrong type")</f>
        <v>PASS</v>
      </c>
    </row>
    <row r="182" customFormat="false" ht="15" hidden="true" customHeight="false" outlineLevel="1" collapsed="false">
      <c r="A182" s="11" t="s">
        <v>751</v>
      </c>
      <c r="B182" s="68" t="s">
        <v>752</v>
      </c>
      <c r="C182" s="28" t="n">
        <v>1</v>
      </c>
      <c r="D182" s="11" t="s">
        <v>479</v>
      </c>
      <c r="E182" s="11" t="s">
        <v>480</v>
      </c>
      <c r="F182" s="11" t="s">
        <v>429</v>
      </c>
      <c r="G182" s="15" t="s">
        <v>481</v>
      </c>
      <c r="H182" s="15"/>
      <c r="I182" s="11" t="n">
        <v>4</v>
      </c>
      <c r="J182" s="11" t="s">
        <v>432</v>
      </c>
      <c r="O182" s="69" t="str">
        <f aca="false">IF(AND(LEN(TRIM($B182&amp;""))&gt;0,LEN(TRIM($P182&amp;""))=0),"PASS","FAIL — "&amp;IF(LEN(TRIM($P182&amp;""))&gt;0,TRIM($P182&amp;""),"line ≠ qty×unit, a required cell empty, or qty/£ non-positive"))</f>
        <v>PASS</v>
      </c>
      <c r="P182" s="70"/>
      <c r="Q182" s="16" t="str">
        <f aca="false">IF(AND(LEN(TRIM(B182&amp;""))&gt;0,TRIM(B182&amp;"")&lt;&gt;"—",LEN(TRIM(C182&amp;""))&gt;0,TRIM(C182&amp;"")&lt;&gt;"—",ISNUMBER(C182),LEN(TRIM(F182&amp;""))&gt;0,TRIM(F182&amp;"")&lt;&gt;"—",LEN(TRIM(I182&amp;""))&gt;0,TRIM(I182&amp;"")&lt;&gt;"—",LEN(TRIM(J182&amp;""))&gt;0,TRIM(J182&amp;"")&lt;&gt;"—",LEN(TRIM(O182&amp;""))&gt;0,TRIM(O182&amp;"")&lt;&gt;"—"),"PASS","⚠ FAIL — "&amp;"a required cell is empty/placeholder or wrong type")</f>
        <v>PASS</v>
      </c>
    </row>
    <row r="183" customFormat="false" ht="15" hidden="true" customHeight="false" outlineLevel="1" collapsed="false">
      <c r="A183" s="11" t="s">
        <v>753</v>
      </c>
      <c r="B183" s="68" t="s">
        <v>754</v>
      </c>
      <c r="C183" s="28" t="n">
        <v>1</v>
      </c>
      <c r="D183" s="11" t="s">
        <v>479</v>
      </c>
      <c r="E183" s="11" t="s">
        <v>480</v>
      </c>
      <c r="F183" s="11" t="s">
        <v>421</v>
      </c>
      <c r="G183" s="15" t="s">
        <v>481</v>
      </c>
      <c r="H183" s="15"/>
      <c r="I183" s="11" t="n">
        <v>2</v>
      </c>
      <c r="J183" s="11" t="s">
        <v>423</v>
      </c>
      <c r="O183" s="69" t="str">
        <f aca="false">IF(AND(LEN(TRIM($B183&amp;""))&gt;0,LEN(TRIM($P183&amp;""))=0),"PASS","FAIL — "&amp;IF(LEN(TRIM($P183&amp;""))&gt;0,TRIM($P183&amp;""),"line ≠ qty×unit, a required cell empty, or qty/£ non-positive"))</f>
        <v>PASS</v>
      </c>
      <c r="P183" s="70"/>
      <c r="Q183" s="16" t="str">
        <f aca="false">IF(AND(LEN(TRIM(B183&amp;""))&gt;0,TRIM(B183&amp;"")&lt;&gt;"—",LEN(TRIM(C183&amp;""))&gt;0,TRIM(C183&amp;"")&lt;&gt;"—",ISNUMBER(C183),LEN(TRIM(F183&amp;""))&gt;0,TRIM(F183&amp;"")&lt;&gt;"—",LEN(TRIM(I183&amp;""))&gt;0,TRIM(I183&amp;"")&lt;&gt;"—",LEN(TRIM(J183&amp;""))&gt;0,TRIM(J183&amp;"")&lt;&gt;"—",LEN(TRIM(O183&amp;""))&gt;0,TRIM(O183&amp;"")&lt;&gt;"—"),"PASS","⚠ FAIL — "&amp;"a required cell is empty/placeholder or wrong type")</f>
        <v>PASS</v>
      </c>
    </row>
    <row r="184" customFormat="false" ht="15" hidden="true" customHeight="false" outlineLevel="1" collapsed="false">
      <c r="A184" s="11" t="s">
        <v>755</v>
      </c>
      <c r="B184" s="68" t="s">
        <v>582</v>
      </c>
      <c r="C184" s="28" t="n">
        <v>1</v>
      </c>
      <c r="D184" s="11" t="s">
        <v>479</v>
      </c>
      <c r="E184" s="11" t="s">
        <v>480</v>
      </c>
      <c r="F184" s="11" t="s">
        <v>429</v>
      </c>
      <c r="G184" s="15" t="s">
        <v>481</v>
      </c>
      <c r="H184" s="15"/>
      <c r="I184" s="11" t="n">
        <v>4</v>
      </c>
      <c r="J184" s="11" t="s">
        <v>432</v>
      </c>
      <c r="O184" s="69" t="str">
        <f aca="false">IF(AND(LEN(TRIM($B184&amp;""))&gt;0,LEN(TRIM($P184&amp;""))=0),"PASS","FAIL — "&amp;IF(LEN(TRIM($P184&amp;""))&gt;0,TRIM($P184&amp;""),"line ≠ qty×unit, a required cell empty, or qty/£ non-positive"))</f>
        <v>PASS</v>
      </c>
      <c r="P184" s="70"/>
      <c r="Q184" s="16" t="str">
        <f aca="false">IF(AND(LEN(TRIM(B184&amp;""))&gt;0,TRIM(B184&amp;"")&lt;&gt;"—",LEN(TRIM(C184&amp;""))&gt;0,TRIM(C184&amp;"")&lt;&gt;"—",ISNUMBER(C184),LEN(TRIM(F184&amp;""))&gt;0,TRIM(F184&amp;"")&lt;&gt;"—",LEN(TRIM(I184&amp;""))&gt;0,TRIM(I184&amp;"")&lt;&gt;"—",LEN(TRIM(J184&amp;""))&gt;0,TRIM(J184&amp;"")&lt;&gt;"—",LEN(TRIM(O184&amp;""))&gt;0,TRIM(O184&amp;"")&lt;&gt;"—"),"PASS","⚠ FAIL — "&amp;"a required cell is empty/placeholder or wrong type")</f>
        <v>PASS</v>
      </c>
    </row>
    <row r="185" customFormat="false" ht="15" hidden="true" customHeight="false" outlineLevel="1" collapsed="false">
      <c r="A185" s="11" t="s">
        <v>756</v>
      </c>
      <c r="B185" s="68" t="s">
        <v>584</v>
      </c>
      <c r="C185" s="28" t="n">
        <v>1</v>
      </c>
      <c r="D185" s="11" t="s">
        <v>479</v>
      </c>
      <c r="E185" s="11" t="s">
        <v>480</v>
      </c>
      <c r="F185" s="11" t="s">
        <v>429</v>
      </c>
      <c r="G185" s="15" t="s">
        <v>481</v>
      </c>
      <c r="H185" s="15"/>
      <c r="I185" s="11" t="n">
        <v>4</v>
      </c>
      <c r="J185" s="11" t="s">
        <v>432</v>
      </c>
      <c r="O185" s="69" t="str">
        <f aca="false">IF(AND(LEN(TRIM($B185&amp;""))&gt;0,LEN(TRIM($P185&amp;""))=0),"PASS","FAIL — "&amp;IF(LEN(TRIM($P185&amp;""))&gt;0,TRIM($P185&amp;""),"line ≠ qty×unit, a required cell empty, or qty/£ non-positive"))</f>
        <v>PASS</v>
      </c>
      <c r="P185" s="70"/>
      <c r="Q185" s="16" t="str">
        <f aca="false">IF(AND(LEN(TRIM(B185&amp;""))&gt;0,TRIM(B185&amp;"")&lt;&gt;"—",LEN(TRIM(C185&amp;""))&gt;0,TRIM(C185&amp;"")&lt;&gt;"—",ISNUMBER(C185),LEN(TRIM(F185&amp;""))&gt;0,TRIM(F185&amp;"")&lt;&gt;"—",LEN(TRIM(I185&amp;""))&gt;0,TRIM(I185&amp;"")&lt;&gt;"—",LEN(TRIM(J185&amp;""))&gt;0,TRIM(J185&amp;"")&lt;&gt;"—",LEN(TRIM(O185&amp;""))&gt;0,TRIM(O185&amp;"")&lt;&gt;"—"),"PASS","⚠ FAIL — "&amp;"a required cell is empty/placeholder or wrong type")</f>
        <v>PASS</v>
      </c>
    </row>
    <row r="186" customFormat="false" ht="15" hidden="true" customHeight="false" outlineLevel="1" collapsed="false">
      <c r="A186" s="11" t="s">
        <v>757</v>
      </c>
      <c r="B186" s="68" t="s">
        <v>586</v>
      </c>
      <c r="C186" s="28" t="n">
        <v>1</v>
      </c>
      <c r="D186" s="11" t="s">
        <v>479</v>
      </c>
      <c r="E186" s="11" t="s">
        <v>480</v>
      </c>
      <c r="F186" s="11" t="s">
        <v>436</v>
      </c>
      <c r="G186" s="15" t="s">
        <v>481</v>
      </c>
      <c r="H186" s="15"/>
      <c r="I186" s="11" t="n">
        <v>5</v>
      </c>
      <c r="J186" s="11" t="s">
        <v>432</v>
      </c>
      <c r="O186" s="69" t="str">
        <f aca="false">IF(AND(LEN(TRIM($B186&amp;""))&gt;0,LEN(TRIM($P186&amp;""))=0),"PASS","FAIL — "&amp;IF(LEN(TRIM($P186&amp;""))&gt;0,TRIM($P186&amp;""),"line ≠ qty×unit, a required cell empty, or qty/£ non-positive"))</f>
        <v>PASS</v>
      </c>
      <c r="P186" s="70"/>
      <c r="Q186" s="16" t="str">
        <f aca="false">IF(AND(LEN(TRIM(B186&amp;""))&gt;0,TRIM(B186&amp;"")&lt;&gt;"—",LEN(TRIM(C186&amp;""))&gt;0,TRIM(C186&amp;"")&lt;&gt;"—",ISNUMBER(C186),LEN(TRIM(F186&amp;""))&gt;0,TRIM(F186&amp;"")&lt;&gt;"—",LEN(TRIM(I186&amp;""))&gt;0,TRIM(I186&amp;"")&lt;&gt;"—",LEN(TRIM(J186&amp;""))&gt;0,TRIM(J186&amp;"")&lt;&gt;"—",LEN(TRIM(O186&amp;""))&gt;0,TRIM(O186&amp;"")&lt;&gt;"—"),"PASS","⚠ FAIL — "&amp;"a required cell is empty/placeholder or wrong type")</f>
        <v>PASS</v>
      </c>
    </row>
    <row r="187" customFormat="false" ht="15" hidden="true" customHeight="false" outlineLevel="1" collapsed="false">
      <c r="A187" s="11" t="s">
        <v>758</v>
      </c>
      <c r="B187" s="68" t="s">
        <v>588</v>
      </c>
      <c r="C187" s="28" t="n">
        <v>1</v>
      </c>
      <c r="D187" s="11" t="s">
        <v>479</v>
      </c>
      <c r="E187" s="11" t="s">
        <v>480</v>
      </c>
      <c r="F187" s="11" t="s">
        <v>429</v>
      </c>
      <c r="G187" s="15" t="s">
        <v>481</v>
      </c>
      <c r="H187" s="15"/>
      <c r="I187" s="11" t="n">
        <v>4</v>
      </c>
      <c r="J187" s="11" t="s">
        <v>432</v>
      </c>
      <c r="O187" s="69" t="str">
        <f aca="false">IF(AND(LEN(TRIM($B187&amp;""))&gt;0,LEN(TRIM($P187&amp;""))=0),"PASS","FAIL — "&amp;IF(LEN(TRIM($P187&amp;""))&gt;0,TRIM($P187&amp;""),"line ≠ qty×unit, a required cell empty, or qty/£ non-positive"))</f>
        <v>PASS</v>
      </c>
      <c r="P187" s="70"/>
      <c r="Q187" s="16" t="str">
        <f aca="false">IF(AND(LEN(TRIM(B187&amp;""))&gt;0,TRIM(B187&amp;"")&lt;&gt;"—",LEN(TRIM(C187&amp;""))&gt;0,TRIM(C187&amp;"")&lt;&gt;"—",ISNUMBER(C187),LEN(TRIM(F187&amp;""))&gt;0,TRIM(F187&amp;"")&lt;&gt;"—",LEN(TRIM(I187&amp;""))&gt;0,TRIM(I187&amp;"")&lt;&gt;"—",LEN(TRIM(J187&amp;""))&gt;0,TRIM(J187&amp;"")&lt;&gt;"—",LEN(TRIM(O187&amp;""))&gt;0,TRIM(O187&amp;"")&lt;&gt;"—"),"PASS","⚠ FAIL — "&amp;"a required cell is empty/placeholder or wrong type")</f>
        <v>PASS</v>
      </c>
    </row>
    <row r="188" customFormat="false" ht="15" hidden="true" customHeight="false" outlineLevel="1" collapsed="false">
      <c r="A188" s="11" t="s">
        <v>759</v>
      </c>
      <c r="B188" s="68" t="s">
        <v>590</v>
      </c>
      <c r="C188" s="28" t="n">
        <v>1</v>
      </c>
      <c r="D188" s="11" t="s">
        <v>479</v>
      </c>
      <c r="E188" s="11" t="s">
        <v>480</v>
      </c>
      <c r="F188" s="11" t="s">
        <v>436</v>
      </c>
      <c r="G188" s="15" t="s">
        <v>481</v>
      </c>
      <c r="H188" s="15"/>
      <c r="I188" s="11" t="n">
        <v>5</v>
      </c>
      <c r="J188" s="11" t="s">
        <v>432</v>
      </c>
      <c r="O188" s="69" t="str">
        <f aca="false">IF(AND(LEN(TRIM($B188&amp;""))&gt;0,LEN(TRIM($P188&amp;""))=0),"PASS","FAIL — "&amp;IF(LEN(TRIM($P188&amp;""))&gt;0,TRIM($P188&amp;""),"line ≠ qty×unit, a required cell empty, or qty/£ non-positive"))</f>
        <v>PASS</v>
      </c>
      <c r="P188" s="70"/>
      <c r="Q188" s="16" t="str">
        <f aca="false">IF(AND(LEN(TRIM(B188&amp;""))&gt;0,TRIM(B188&amp;"")&lt;&gt;"—",LEN(TRIM(C188&amp;""))&gt;0,TRIM(C188&amp;"")&lt;&gt;"—",ISNUMBER(C188),LEN(TRIM(F188&amp;""))&gt;0,TRIM(F188&amp;"")&lt;&gt;"—",LEN(TRIM(I188&amp;""))&gt;0,TRIM(I188&amp;"")&lt;&gt;"—",LEN(TRIM(J188&amp;""))&gt;0,TRIM(J188&amp;"")&lt;&gt;"—",LEN(TRIM(O188&amp;""))&gt;0,TRIM(O188&amp;"")&lt;&gt;"—"),"PASS","⚠ FAIL — "&amp;"a required cell is empty/placeholder or wrong type")</f>
        <v>PASS</v>
      </c>
    </row>
    <row r="189" customFormat="false" ht="15" hidden="true" customHeight="false" outlineLevel="1" collapsed="false">
      <c r="A189" s="11" t="s">
        <v>760</v>
      </c>
      <c r="B189" s="68" t="s">
        <v>592</v>
      </c>
      <c r="C189" s="28" t="n">
        <v>1</v>
      </c>
      <c r="D189" s="11" t="s">
        <v>479</v>
      </c>
      <c r="E189" s="11" t="s">
        <v>480</v>
      </c>
      <c r="F189" s="11" t="s">
        <v>436</v>
      </c>
      <c r="G189" s="15" t="s">
        <v>481</v>
      </c>
      <c r="H189" s="15"/>
      <c r="I189" s="11" t="n">
        <v>5</v>
      </c>
      <c r="J189" s="11" t="s">
        <v>432</v>
      </c>
      <c r="O189" s="69" t="str">
        <f aca="false">IF(AND(LEN(TRIM($B189&amp;""))&gt;0,LEN(TRIM($P189&amp;""))=0),"PASS","FAIL — "&amp;IF(LEN(TRIM($P189&amp;""))&gt;0,TRIM($P189&amp;""),"line ≠ qty×unit, a required cell empty, or qty/£ non-positive"))</f>
        <v>PASS</v>
      </c>
      <c r="P189" s="70"/>
      <c r="Q189" s="16" t="str">
        <f aca="false">IF(AND(LEN(TRIM(B189&amp;""))&gt;0,TRIM(B189&amp;"")&lt;&gt;"—",LEN(TRIM(C189&amp;""))&gt;0,TRIM(C189&amp;"")&lt;&gt;"—",ISNUMBER(C189),LEN(TRIM(F189&amp;""))&gt;0,TRIM(F189&amp;"")&lt;&gt;"—",LEN(TRIM(I189&amp;""))&gt;0,TRIM(I189&amp;"")&lt;&gt;"—",LEN(TRIM(J189&amp;""))&gt;0,TRIM(J189&amp;"")&lt;&gt;"—",LEN(TRIM(O189&amp;""))&gt;0,TRIM(O189&amp;"")&lt;&gt;"—"),"PASS","⚠ FAIL — "&amp;"a required cell is empty/placeholder or wrong type")</f>
        <v>PASS</v>
      </c>
    </row>
    <row r="190" customFormat="false" ht="15" hidden="true" customHeight="false" outlineLevel="1" collapsed="false">
      <c r="A190" s="11" t="s">
        <v>761</v>
      </c>
      <c r="B190" s="68" t="s">
        <v>594</v>
      </c>
      <c r="C190" s="28" t="n">
        <v>1</v>
      </c>
      <c r="D190" s="11" t="s">
        <v>479</v>
      </c>
      <c r="E190" s="11" t="s">
        <v>480</v>
      </c>
      <c r="F190" s="11" t="s">
        <v>436</v>
      </c>
      <c r="G190" s="15" t="s">
        <v>481</v>
      </c>
      <c r="H190" s="15"/>
      <c r="I190" s="11" t="n">
        <v>5</v>
      </c>
      <c r="J190" s="11" t="s">
        <v>432</v>
      </c>
      <c r="O190" s="69" t="str">
        <f aca="false">IF(AND(LEN(TRIM($B190&amp;""))&gt;0,LEN(TRIM($P190&amp;""))=0),"PASS","FAIL — "&amp;IF(LEN(TRIM($P190&amp;""))&gt;0,TRIM($P190&amp;""),"line ≠ qty×unit, a required cell empty, or qty/£ non-positive"))</f>
        <v>PASS</v>
      </c>
      <c r="P190" s="70"/>
      <c r="Q190" s="16" t="str">
        <f aca="false">IF(AND(LEN(TRIM(B190&amp;""))&gt;0,TRIM(B190&amp;"")&lt;&gt;"—",LEN(TRIM(C190&amp;""))&gt;0,TRIM(C190&amp;"")&lt;&gt;"—",ISNUMBER(C190),LEN(TRIM(F190&amp;""))&gt;0,TRIM(F190&amp;"")&lt;&gt;"—",LEN(TRIM(I190&amp;""))&gt;0,TRIM(I190&amp;"")&lt;&gt;"—",LEN(TRIM(J190&amp;""))&gt;0,TRIM(J190&amp;"")&lt;&gt;"—",LEN(TRIM(O190&amp;""))&gt;0,TRIM(O190&amp;"")&lt;&gt;"—"),"PASS","⚠ FAIL — "&amp;"a required cell is empty/placeholder or wrong type")</f>
        <v>PASS</v>
      </c>
    </row>
    <row r="191" customFormat="false" ht="15" hidden="true" customHeight="false" outlineLevel="1" collapsed="false">
      <c r="A191" s="11" t="s">
        <v>762</v>
      </c>
      <c r="B191" s="68" t="s">
        <v>596</v>
      </c>
      <c r="C191" s="28" t="n">
        <v>1</v>
      </c>
      <c r="D191" s="11" t="s">
        <v>479</v>
      </c>
      <c r="E191" s="11" t="s">
        <v>480</v>
      </c>
      <c r="F191" s="11" t="s">
        <v>436</v>
      </c>
      <c r="G191" s="15" t="s">
        <v>481</v>
      </c>
      <c r="H191" s="15"/>
      <c r="I191" s="11" t="n">
        <v>5</v>
      </c>
      <c r="J191" s="11" t="s">
        <v>432</v>
      </c>
      <c r="O191" s="69" t="str">
        <f aca="false">IF(AND(LEN(TRIM($B191&amp;""))&gt;0,LEN(TRIM($P191&amp;""))=0),"PASS","FAIL — "&amp;IF(LEN(TRIM($P191&amp;""))&gt;0,TRIM($P191&amp;""),"line ≠ qty×unit, a required cell empty, or qty/£ non-positive"))</f>
        <v>PASS</v>
      </c>
      <c r="P191" s="70"/>
      <c r="Q191" s="16" t="str">
        <f aca="false">IF(AND(LEN(TRIM(B191&amp;""))&gt;0,TRIM(B191&amp;"")&lt;&gt;"—",LEN(TRIM(C191&amp;""))&gt;0,TRIM(C191&amp;"")&lt;&gt;"—",ISNUMBER(C191),LEN(TRIM(F191&amp;""))&gt;0,TRIM(F191&amp;"")&lt;&gt;"—",LEN(TRIM(I191&amp;""))&gt;0,TRIM(I191&amp;"")&lt;&gt;"—",LEN(TRIM(J191&amp;""))&gt;0,TRIM(J191&amp;"")&lt;&gt;"—",LEN(TRIM(O191&amp;""))&gt;0,TRIM(O191&amp;"")&lt;&gt;"—"),"PASS","⚠ FAIL — "&amp;"a required cell is empty/placeholder or wrong type")</f>
        <v>PASS</v>
      </c>
    </row>
    <row r="192" customFormat="false" ht="15" hidden="true" customHeight="false" outlineLevel="1" collapsed="false">
      <c r="A192" s="11" t="s">
        <v>763</v>
      </c>
      <c r="B192" s="68" t="s">
        <v>598</v>
      </c>
      <c r="C192" s="28" t="n">
        <v>1</v>
      </c>
      <c r="D192" s="11" t="s">
        <v>479</v>
      </c>
      <c r="E192" s="11" t="s">
        <v>480</v>
      </c>
      <c r="F192" s="11" t="s">
        <v>436</v>
      </c>
      <c r="G192" s="15" t="s">
        <v>481</v>
      </c>
      <c r="H192" s="15"/>
      <c r="I192" s="11" t="n">
        <v>5</v>
      </c>
      <c r="J192" s="11" t="s">
        <v>432</v>
      </c>
      <c r="O192" s="69" t="str">
        <f aca="false">IF(AND(LEN(TRIM($B192&amp;""))&gt;0,LEN(TRIM($P192&amp;""))=0),"PASS","FAIL — "&amp;IF(LEN(TRIM($P192&amp;""))&gt;0,TRIM($P192&amp;""),"line ≠ qty×unit, a required cell empty, or qty/£ non-positive"))</f>
        <v>PASS</v>
      </c>
      <c r="P192" s="70"/>
      <c r="Q192" s="16" t="str">
        <f aca="false">IF(AND(LEN(TRIM(B192&amp;""))&gt;0,TRIM(B192&amp;"")&lt;&gt;"—",LEN(TRIM(C192&amp;""))&gt;0,TRIM(C192&amp;"")&lt;&gt;"—",ISNUMBER(C192),LEN(TRIM(F192&amp;""))&gt;0,TRIM(F192&amp;"")&lt;&gt;"—",LEN(TRIM(I192&amp;""))&gt;0,TRIM(I192&amp;"")&lt;&gt;"—",LEN(TRIM(J192&amp;""))&gt;0,TRIM(J192&amp;"")&lt;&gt;"—",LEN(TRIM(O192&amp;""))&gt;0,TRIM(O192&amp;"")&lt;&gt;"—"),"PASS","⚠ FAIL — "&amp;"a required cell is empty/placeholder or wrong type")</f>
        <v>PASS</v>
      </c>
    </row>
    <row r="193" customFormat="false" ht="23.85" hidden="false" customHeight="false" outlineLevel="0" collapsed="true">
      <c r="A193" s="11" t="str">
        <f aca="false">'Part names'!$A$37</f>
        <v>V-101</v>
      </c>
      <c r="B193" s="68" t="str">
        <f aca="false">'Part names'!$B$37 &amp; "  · 1.3 m dia x 1.4 m"</f>
        <v>Gac Filter  · 1.3 m dia x 1.4 m</v>
      </c>
      <c r="C193" s="28" t="n">
        <v>1</v>
      </c>
      <c r="D193" s="36" t="n">
        <v>14825</v>
      </c>
      <c r="E193" s="36" t="n">
        <v>14825</v>
      </c>
      <c r="F193" s="11" t="s">
        <v>429</v>
      </c>
      <c r="G193" s="15" t="s">
        <v>469</v>
      </c>
      <c r="H193" s="15" t="s">
        <v>438</v>
      </c>
      <c r="I193" s="11" t="n">
        <v>4</v>
      </c>
      <c r="J193" s="11" t="s">
        <v>432</v>
      </c>
      <c r="K193" s="15" t="s">
        <v>764</v>
      </c>
      <c r="L193" s="68" t="s">
        <v>512</v>
      </c>
      <c r="M193" s="15" t="s">
        <v>513</v>
      </c>
      <c r="N193" s="71" t="s">
        <v>435</v>
      </c>
      <c r="O193" s="69" t="str">
        <f aca="false">IF(AND(LEN(TRIM($B193&amp;""))&gt;0,ISNUMBER($C193),$C193&gt;0,ISNUMBER($D193),$D193&gt;0,ISNUMBER($E193),$E193&gt;0,ABS($E193-$C193*$D193)&lt;=MAX(1,0.005*ABS($E193)),LEN(TRIM($M193&amp;""))&gt;0,TRIM($M193&amp;"")&lt;&gt;"—",LEN(TRIM($P193&amp;""))=0),"PASS","FAIL — "&amp;IF(LEN(TRIM($P193&amp;""))&gt;0,TRIM($P193&amp;""),"line ≠ qty×unit, a required cell empty, or qty/£ non-positive"))</f>
        <v>PASS</v>
      </c>
      <c r="P193" s="70"/>
      <c r="Q193" s="16" t="str">
        <f aca="false">IF(AND(LEN(TRIM(A193&amp;""))&gt;0,TRIM(A193&amp;"")&lt;&gt;"—",LEN(TRIM(B193&amp;""))&gt;0,TRIM(B193&amp;"")&lt;&gt;"—",LEN(TRIM(C193&amp;""))&gt;0,TRIM(C193&amp;"")&lt;&gt;"—",ISNUMBER(C193),LEN(TRIM(D193&amp;""))&gt;0,TRIM(D193&amp;"")&lt;&gt;"—",ISNUMBER(D193),LEN(TRIM(E193&amp;""))&gt;0,TRIM(E193&amp;"")&lt;&gt;"—",ISNUMBER(E193),LEN(TRIM(F193&amp;""))&gt;0,TRIM(F193&amp;"")&lt;&gt;"—",LEN(TRIM(I193&amp;""))&gt;0,TRIM(I193&amp;"")&lt;&gt;"—",LEN(TRIM(J193&amp;""))&gt;0,TRIM(J193&amp;"")&lt;&gt;"—",LEN(TRIM(O193&amp;""))&gt;0,TRIM(O193&amp;"")&lt;&gt;"—"),"PASS","⚠ FAIL — "&amp;"a required cell is empty/placeholder or wrong type")</f>
        <v>PASS</v>
      </c>
    </row>
    <row r="194" customFormat="false" ht="15" hidden="true" customHeight="false" outlineLevel="1" collapsed="false">
      <c r="A194" s="11" t="s">
        <v>765</v>
      </c>
      <c r="B194" s="68" t="s">
        <v>478</v>
      </c>
      <c r="C194" s="28" t="n">
        <v>1</v>
      </c>
      <c r="D194" s="11" t="s">
        <v>479</v>
      </c>
      <c r="E194" s="11" t="s">
        <v>480</v>
      </c>
      <c r="F194" s="11" t="s">
        <v>429</v>
      </c>
      <c r="G194" s="15" t="s">
        <v>481</v>
      </c>
      <c r="H194" s="15"/>
      <c r="I194" s="11" t="n">
        <v>4</v>
      </c>
      <c r="J194" s="11" t="s">
        <v>432</v>
      </c>
      <c r="O194" s="69" t="str">
        <f aca="false">IF(AND(LEN(TRIM($B194&amp;""))&gt;0,LEN(TRIM($P194&amp;""))=0),"PASS","FAIL — "&amp;IF(LEN(TRIM($P194&amp;""))&gt;0,TRIM($P194&amp;""),"line ≠ qty×unit, a required cell empty, or qty/£ non-positive"))</f>
        <v>PASS</v>
      </c>
      <c r="P194" s="70"/>
      <c r="Q194" s="16" t="str">
        <f aca="false">IF(AND(LEN(TRIM(B194&amp;""))&gt;0,TRIM(B194&amp;"")&lt;&gt;"—",LEN(TRIM(C194&amp;""))&gt;0,TRIM(C194&amp;"")&lt;&gt;"—",ISNUMBER(C194),LEN(TRIM(F194&amp;""))&gt;0,TRIM(F194&amp;"")&lt;&gt;"—",LEN(TRIM(I194&amp;""))&gt;0,TRIM(I194&amp;"")&lt;&gt;"—",LEN(TRIM(J194&amp;""))&gt;0,TRIM(J194&amp;"")&lt;&gt;"—",LEN(TRIM(O194&amp;""))&gt;0,TRIM(O194&amp;"")&lt;&gt;"—"),"PASS","⚠ FAIL — "&amp;"a required cell is empty/placeholder or wrong type")</f>
        <v>PASS</v>
      </c>
    </row>
    <row r="195" customFormat="false" ht="15" hidden="true" customHeight="false" outlineLevel="1" collapsed="false">
      <c r="A195" s="11" t="s">
        <v>766</v>
      </c>
      <c r="B195" s="68" t="s">
        <v>483</v>
      </c>
      <c r="C195" s="28" t="n">
        <v>1</v>
      </c>
      <c r="D195" s="11" t="s">
        <v>479</v>
      </c>
      <c r="E195" s="11" t="s">
        <v>480</v>
      </c>
      <c r="F195" s="11" t="s">
        <v>436</v>
      </c>
      <c r="G195" s="15" t="s">
        <v>481</v>
      </c>
      <c r="H195" s="15"/>
      <c r="I195" s="11" t="n">
        <v>5</v>
      </c>
      <c r="J195" s="11" t="s">
        <v>432</v>
      </c>
      <c r="O195" s="69" t="str">
        <f aca="false">IF(AND(LEN(TRIM($B195&amp;""))&gt;0,LEN(TRIM($P195&amp;""))=0),"PASS","FAIL — "&amp;IF(LEN(TRIM($P195&amp;""))&gt;0,TRIM($P195&amp;""),"line ≠ qty×unit, a required cell empty, or qty/£ non-positive"))</f>
        <v>PASS</v>
      </c>
      <c r="P195" s="70"/>
      <c r="Q195" s="16" t="str">
        <f aca="false">IF(AND(LEN(TRIM(B195&amp;""))&gt;0,TRIM(B195&amp;"")&lt;&gt;"—",LEN(TRIM(C195&amp;""))&gt;0,TRIM(C195&amp;"")&lt;&gt;"—",ISNUMBER(C195),LEN(TRIM(F195&amp;""))&gt;0,TRIM(F195&amp;"")&lt;&gt;"—",LEN(TRIM(I195&amp;""))&gt;0,TRIM(I195&amp;"")&lt;&gt;"—",LEN(TRIM(J195&amp;""))&gt;0,TRIM(J195&amp;"")&lt;&gt;"—",LEN(TRIM(O195&amp;""))&gt;0,TRIM(O195&amp;"")&lt;&gt;"—"),"PASS","⚠ FAIL — "&amp;"a required cell is empty/placeholder or wrong type")</f>
        <v>PASS</v>
      </c>
    </row>
    <row r="196" customFormat="false" ht="15" hidden="true" customHeight="false" outlineLevel="1" collapsed="false">
      <c r="A196" s="11" t="s">
        <v>767</v>
      </c>
      <c r="B196" s="68" t="s">
        <v>485</v>
      </c>
      <c r="C196" s="28" t="n">
        <v>1</v>
      </c>
      <c r="D196" s="11" t="s">
        <v>479</v>
      </c>
      <c r="E196" s="11" t="s">
        <v>480</v>
      </c>
      <c r="F196" s="11" t="s">
        <v>436</v>
      </c>
      <c r="G196" s="15" t="s">
        <v>481</v>
      </c>
      <c r="H196" s="15"/>
      <c r="I196" s="11" t="n">
        <v>5</v>
      </c>
      <c r="J196" s="11" t="s">
        <v>432</v>
      </c>
      <c r="O196" s="69" t="str">
        <f aca="false">IF(AND(LEN(TRIM($B196&amp;""))&gt;0,LEN(TRIM($P196&amp;""))=0),"PASS","FAIL — "&amp;IF(LEN(TRIM($P196&amp;""))&gt;0,TRIM($P196&amp;""),"line ≠ qty×unit, a required cell empty, or qty/£ non-positive"))</f>
        <v>PASS</v>
      </c>
      <c r="P196" s="70"/>
      <c r="Q196" s="16" t="str">
        <f aca="false">IF(AND(LEN(TRIM(B196&amp;""))&gt;0,TRIM(B196&amp;"")&lt;&gt;"—",LEN(TRIM(C196&amp;""))&gt;0,TRIM(C196&amp;"")&lt;&gt;"—",ISNUMBER(C196),LEN(TRIM(F196&amp;""))&gt;0,TRIM(F196&amp;"")&lt;&gt;"—",LEN(TRIM(I196&amp;""))&gt;0,TRIM(I196&amp;"")&lt;&gt;"—",LEN(TRIM(J196&amp;""))&gt;0,TRIM(J196&amp;"")&lt;&gt;"—",LEN(TRIM(O196&amp;""))&gt;0,TRIM(O196&amp;"")&lt;&gt;"—"),"PASS","⚠ FAIL — "&amp;"a required cell is empty/placeholder or wrong type")</f>
        <v>PASS</v>
      </c>
    </row>
    <row r="197" customFormat="false" ht="15" hidden="true" customHeight="false" outlineLevel="1" collapsed="false">
      <c r="A197" s="11" t="s">
        <v>768</v>
      </c>
      <c r="B197" s="68" t="s">
        <v>487</v>
      </c>
      <c r="C197" s="28" t="n">
        <v>1</v>
      </c>
      <c r="D197" s="11" t="s">
        <v>479</v>
      </c>
      <c r="E197" s="11" t="s">
        <v>480</v>
      </c>
      <c r="F197" s="11" t="s">
        <v>436</v>
      </c>
      <c r="G197" s="15" t="s">
        <v>481</v>
      </c>
      <c r="H197" s="15"/>
      <c r="I197" s="11" t="n">
        <v>5</v>
      </c>
      <c r="J197" s="11" t="s">
        <v>432</v>
      </c>
      <c r="O197" s="69" t="str">
        <f aca="false">IF(AND(LEN(TRIM($B197&amp;""))&gt;0,LEN(TRIM($P197&amp;""))=0),"PASS","FAIL — "&amp;IF(LEN(TRIM($P197&amp;""))&gt;0,TRIM($P197&amp;""),"line ≠ qty×unit, a required cell empty, or qty/£ non-positive"))</f>
        <v>PASS</v>
      </c>
      <c r="P197" s="70"/>
      <c r="Q197" s="16" t="str">
        <f aca="false">IF(AND(LEN(TRIM(B197&amp;""))&gt;0,TRIM(B197&amp;"")&lt;&gt;"—",LEN(TRIM(C197&amp;""))&gt;0,TRIM(C197&amp;"")&lt;&gt;"—",ISNUMBER(C197),LEN(TRIM(F197&amp;""))&gt;0,TRIM(F197&amp;"")&lt;&gt;"—",LEN(TRIM(I197&amp;""))&gt;0,TRIM(I197&amp;"")&lt;&gt;"—",LEN(TRIM(J197&amp;""))&gt;0,TRIM(J197&amp;"")&lt;&gt;"—",LEN(TRIM(O197&amp;""))&gt;0,TRIM(O197&amp;"")&lt;&gt;"—"),"PASS","⚠ FAIL — "&amp;"a required cell is empty/placeholder or wrong type")</f>
        <v>PASS</v>
      </c>
    </row>
    <row r="198" customFormat="false" ht="15" hidden="true" customHeight="false" outlineLevel="1" collapsed="false">
      <c r="A198" s="11" t="s">
        <v>769</v>
      </c>
      <c r="B198" s="68" t="s">
        <v>489</v>
      </c>
      <c r="C198" s="28" t="n">
        <v>1</v>
      </c>
      <c r="D198" s="11" t="s">
        <v>479</v>
      </c>
      <c r="E198" s="11" t="s">
        <v>480</v>
      </c>
      <c r="F198" s="11" t="s">
        <v>429</v>
      </c>
      <c r="G198" s="15" t="s">
        <v>481</v>
      </c>
      <c r="H198" s="15"/>
      <c r="I198" s="11" t="n">
        <v>4</v>
      </c>
      <c r="J198" s="11" t="s">
        <v>432</v>
      </c>
      <c r="O198" s="69" t="str">
        <f aca="false">IF(AND(LEN(TRIM($B198&amp;""))&gt;0,LEN(TRIM($P198&amp;""))=0),"PASS","FAIL — "&amp;IF(LEN(TRIM($P198&amp;""))&gt;0,TRIM($P198&amp;""),"line ≠ qty×unit, a required cell empty, or qty/£ non-positive"))</f>
        <v>PASS</v>
      </c>
      <c r="P198" s="70"/>
      <c r="Q198" s="16" t="str">
        <f aca="false">IF(AND(LEN(TRIM(B198&amp;""))&gt;0,TRIM(B198&amp;"")&lt;&gt;"—",LEN(TRIM(C198&amp;""))&gt;0,TRIM(C198&amp;"")&lt;&gt;"—",ISNUMBER(C198),LEN(TRIM(F198&amp;""))&gt;0,TRIM(F198&amp;"")&lt;&gt;"—",LEN(TRIM(I198&amp;""))&gt;0,TRIM(I198&amp;"")&lt;&gt;"—",LEN(TRIM(J198&amp;""))&gt;0,TRIM(J198&amp;"")&lt;&gt;"—",LEN(TRIM(O198&amp;""))&gt;0,TRIM(O198&amp;"")&lt;&gt;"—"),"PASS","⚠ FAIL — "&amp;"a required cell is empty/placeholder or wrong type")</f>
        <v>PASS</v>
      </c>
    </row>
    <row r="199" customFormat="false" ht="15" hidden="true" customHeight="false" outlineLevel="1" collapsed="false">
      <c r="A199" s="11" t="s">
        <v>770</v>
      </c>
      <c r="B199" s="68" t="s">
        <v>491</v>
      </c>
      <c r="C199" s="28" t="n">
        <v>1</v>
      </c>
      <c r="D199" s="11" t="s">
        <v>479</v>
      </c>
      <c r="E199" s="11" t="s">
        <v>480</v>
      </c>
      <c r="F199" s="11" t="s">
        <v>436</v>
      </c>
      <c r="G199" s="15" t="s">
        <v>481</v>
      </c>
      <c r="H199" s="15"/>
      <c r="I199" s="11" t="n">
        <v>5</v>
      </c>
      <c r="J199" s="11" t="s">
        <v>432</v>
      </c>
      <c r="O199" s="69" t="str">
        <f aca="false">IF(AND(LEN(TRIM($B199&amp;""))&gt;0,LEN(TRIM($P199&amp;""))=0),"PASS","FAIL — "&amp;IF(LEN(TRIM($P199&amp;""))&gt;0,TRIM($P199&amp;""),"line ≠ qty×unit, a required cell empty, or qty/£ non-positive"))</f>
        <v>PASS</v>
      </c>
      <c r="P199" s="70"/>
      <c r="Q199" s="16" t="str">
        <f aca="false">IF(AND(LEN(TRIM(B199&amp;""))&gt;0,TRIM(B199&amp;"")&lt;&gt;"—",LEN(TRIM(C199&amp;""))&gt;0,TRIM(C199&amp;"")&lt;&gt;"—",ISNUMBER(C199),LEN(TRIM(F199&amp;""))&gt;0,TRIM(F199&amp;"")&lt;&gt;"—",LEN(TRIM(I199&amp;""))&gt;0,TRIM(I199&amp;"")&lt;&gt;"—",LEN(TRIM(J199&amp;""))&gt;0,TRIM(J199&amp;"")&lt;&gt;"—",LEN(TRIM(O199&amp;""))&gt;0,TRIM(O199&amp;"")&lt;&gt;"—"),"PASS","⚠ FAIL — "&amp;"a required cell is empty/placeholder or wrong type")</f>
        <v>PASS</v>
      </c>
    </row>
    <row r="200" customFormat="false" ht="15" hidden="true" customHeight="false" outlineLevel="1" collapsed="false">
      <c r="A200" s="11" t="s">
        <v>771</v>
      </c>
      <c r="B200" s="68" t="s">
        <v>493</v>
      </c>
      <c r="C200" s="28" t="n">
        <v>1</v>
      </c>
      <c r="D200" s="11" t="s">
        <v>479</v>
      </c>
      <c r="E200" s="11" t="s">
        <v>480</v>
      </c>
      <c r="F200" s="11" t="s">
        <v>436</v>
      </c>
      <c r="G200" s="15" t="s">
        <v>481</v>
      </c>
      <c r="H200" s="15"/>
      <c r="I200" s="11" t="n">
        <v>5</v>
      </c>
      <c r="J200" s="11" t="s">
        <v>432</v>
      </c>
      <c r="O200" s="69" t="str">
        <f aca="false">IF(AND(LEN(TRIM($B200&amp;""))&gt;0,LEN(TRIM($P200&amp;""))=0),"PASS","FAIL — "&amp;IF(LEN(TRIM($P200&amp;""))&gt;0,TRIM($P200&amp;""),"line ≠ qty×unit, a required cell empty, or qty/£ non-positive"))</f>
        <v>PASS</v>
      </c>
      <c r="P200" s="70"/>
      <c r="Q200" s="16" t="str">
        <f aca="false">IF(AND(LEN(TRIM(B200&amp;""))&gt;0,TRIM(B200&amp;"")&lt;&gt;"—",LEN(TRIM(C200&amp;""))&gt;0,TRIM(C200&amp;"")&lt;&gt;"—",ISNUMBER(C200),LEN(TRIM(F200&amp;""))&gt;0,TRIM(F200&amp;"")&lt;&gt;"—",LEN(TRIM(I200&amp;""))&gt;0,TRIM(I200&amp;"")&lt;&gt;"—",LEN(TRIM(J200&amp;""))&gt;0,TRIM(J200&amp;"")&lt;&gt;"—",LEN(TRIM(O200&amp;""))&gt;0,TRIM(O200&amp;"")&lt;&gt;"—"),"PASS","⚠ FAIL — "&amp;"a required cell is empty/placeholder or wrong type")</f>
        <v>PASS</v>
      </c>
    </row>
    <row r="201" customFormat="false" ht="15" hidden="true" customHeight="false" outlineLevel="1" collapsed="false">
      <c r="A201" s="11" t="s">
        <v>772</v>
      </c>
      <c r="B201" s="68" t="s">
        <v>495</v>
      </c>
      <c r="C201" s="28" t="n">
        <v>1</v>
      </c>
      <c r="D201" s="11" t="s">
        <v>479</v>
      </c>
      <c r="E201" s="11" t="s">
        <v>480</v>
      </c>
      <c r="F201" s="11" t="s">
        <v>429</v>
      </c>
      <c r="G201" s="15" t="s">
        <v>481</v>
      </c>
      <c r="H201" s="15"/>
      <c r="I201" s="11" t="n">
        <v>4</v>
      </c>
      <c r="J201" s="11" t="s">
        <v>432</v>
      </c>
      <c r="O201" s="69" t="str">
        <f aca="false">IF(AND(LEN(TRIM($B201&amp;""))&gt;0,LEN(TRIM($P201&amp;""))=0),"PASS","FAIL — "&amp;IF(LEN(TRIM($P201&amp;""))&gt;0,TRIM($P201&amp;""),"line ≠ qty×unit, a required cell empty, or qty/£ non-positive"))</f>
        <v>PASS</v>
      </c>
      <c r="P201" s="70"/>
      <c r="Q201" s="16" t="str">
        <f aca="false">IF(AND(LEN(TRIM(B201&amp;""))&gt;0,TRIM(B201&amp;"")&lt;&gt;"—",LEN(TRIM(C201&amp;""))&gt;0,TRIM(C201&amp;"")&lt;&gt;"—",ISNUMBER(C201),LEN(TRIM(F201&amp;""))&gt;0,TRIM(F201&amp;"")&lt;&gt;"—",LEN(TRIM(I201&amp;""))&gt;0,TRIM(I201&amp;"")&lt;&gt;"—",LEN(TRIM(J201&amp;""))&gt;0,TRIM(J201&amp;"")&lt;&gt;"—",LEN(TRIM(O201&amp;""))&gt;0,TRIM(O201&amp;"")&lt;&gt;"—"),"PASS","⚠ FAIL — "&amp;"a required cell is empty/placeholder or wrong type")</f>
        <v>PASS</v>
      </c>
    </row>
    <row r="202" customFormat="false" ht="15" hidden="true" customHeight="false" outlineLevel="1" collapsed="false">
      <c r="A202" s="11" t="s">
        <v>773</v>
      </c>
      <c r="B202" s="68" t="s">
        <v>497</v>
      </c>
      <c r="C202" s="28" t="n">
        <v>1</v>
      </c>
      <c r="D202" s="11" t="s">
        <v>479</v>
      </c>
      <c r="E202" s="11" t="s">
        <v>480</v>
      </c>
      <c r="F202" s="11" t="s">
        <v>429</v>
      </c>
      <c r="G202" s="15" t="s">
        <v>481</v>
      </c>
      <c r="H202" s="15"/>
      <c r="I202" s="11" t="n">
        <v>4</v>
      </c>
      <c r="J202" s="11" t="s">
        <v>432</v>
      </c>
      <c r="O202" s="69" t="str">
        <f aca="false">IF(AND(LEN(TRIM($B202&amp;""))&gt;0,LEN(TRIM($P202&amp;""))=0),"PASS","FAIL — "&amp;IF(LEN(TRIM($P202&amp;""))&gt;0,TRIM($P202&amp;""),"line ≠ qty×unit, a required cell empty, or qty/£ non-positive"))</f>
        <v>PASS</v>
      </c>
      <c r="P202" s="70"/>
      <c r="Q202" s="16" t="str">
        <f aca="false">IF(AND(LEN(TRIM(B202&amp;""))&gt;0,TRIM(B202&amp;"")&lt;&gt;"—",LEN(TRIM(C202&amp;""))&gt;0,TRIM(C202&amp;"")&lt;&gt;"—",ISNUMBER(C202),LEN(TRIM(F202&amp;""))&gt;0,TRIM(F202&amp;"")&lt;&gt;"—",LEN(TRIM(I202&amp;""))&gt;0,TRIM(I202&amp;"")&lt;&gt;"—",LEN(TRIM(J202&amp;""))&gt;0,TRIM(J202&amp;"")&lt;&gt;"—",LEN(TRIM(O202&amp;""))&gt;0,TRIM(O202&amp;"")&lt;&gt;"—"),"PASS","⚠ FAIL — "&amp;"a required cell is empty/placeholder or wrong type")</f>
        <v>PASS</v>
      </c>
    </row>
    <row r="203" customFormat="false" ht="15" hidden="true" customHeight="false" outlineLevel="1" collapsed="false">
      <c r="A203" s="11" t="s">
        <v>774</v>
      </c>
      <c r="B203" s="68" t="s">
        <v>499</v>
      </c>
      <c r="C203" s="28" t="n">
        <v>1</v>
      </c>
      <c r="D203" s="11" t="s">
        <v>479</v>
      </c>
      <c r="E203" s="11" t="s">
        <v>480</v>
      </c>
      <c r="F203" s="11" t="s">
        <v>436</v>
      </c>
      <c r="G203" s="15" t="s">
        <v>481</v>
      </c>
      <c r="H203" s="15"/>
      <c r="I203" s="11" t="n">
        <v>5</v>
      </c>
      <c r="J203" s="11" t="s">
        <v>432</v>
      </c>
      <c r="O203" s="69" t="str">
        <f aca="false">IF(AND(LEN(TRIM($B203&amp;""))&gt;0,LEN(TRIM($P203&amp;""))=0),"PASS","FAIL — "&amp;IF(LEN(TRIM($P203&amp;""))&gt;0,TRIM($P203&amp;""),"line ≠ qty×unit, a required cell empty, or qty/£ non-positive"))</f>
        <v>PASS</v>
      </c>
      <c r="P203" s="70"/>
      <c r="Q203" s="16" t="str">
        <f aca="false">IF(AND(LEN(TRIM(B203&amp;""))&gt;0,TRIM(B203&amp;"")&lt;&gt;"—",LEN(TRIM(C203&amp;""))&gt;0,TRIM(C203&amp;"")&lt;&gt;"—",ISNUMBER(C203),LEN(TRIM(F203&amp;""))&gt;0,TRIM(F203&amp;"")&lt;&gt;"—",LEN(TRIM(I203&amp;""))&gt;0,TRIM(I203&amp;"")&lt;&gt;"—",LEN(TRIM(J203&amp;""))&gt;0,TRIM(J203&amp;"")&lt;&gt;"—",LEN(TRIM(O203&amp;""))&gt;0,TRIM(O203&amp;"")&lt;&gt;"—"),"PASS","⚠ FAIL — "&amp;"a required cell is empty/placeholder or wrong type")</f>
        <v>PASS</v>
      </c>
    </row>
    <row r="204" customFormat="false" ht="32.8" hidden="false" customHeight="false" outlineLevel="0" collapsed="true">
      <c r="A204" s="11" t="str">
        <f aca="false">'Part names'!$A$36</f>
        <v>TK-108</v>
      </c>
      <c r="B204" s="68" t="str">
        <f aca="false">'Part names'!$B$36 &amp; "  · 3.7 m dia x 3.7 m"</f>
        <v>Fresh Water Tank  · 3.7 m dia x 3.7 m</v>
      </c>
      <c r="C204" s="28" t="n">
        <v>1</v>
      </c>
      <c r="D204" s="36" t="n">
        <v>13615</v>
      </c>
      <c r="E204" s="36" t="n">
        <v>13615</v>
      </c>
      <c r="F204" s="11" t="s">
        <v>429</v>
      </c>
      <c r="G204" s="15" t="s">
        <v>775</v>
      </c>
      <c r="H204" s="15" t="s">
        <v>776</v>
      </c>
      <c r="I204" s="11" t="n">
        <v>4</v>
      </c>
      <c r="J204" s="11" t="s">
        <v>432</v>
      </c>
      <c r="K204" s="15" t="s">
        <v>777</v>
      </c>
      <c r="L204" s="68" t="s">
        <v>602</v>
      </c>
      <c r="M204" s="15" t="s">
        <v>778</v>
      </c>
      <c r="N204" s="68" t="s">
        <v>476</v>
      </c>
      <c r="O204" s="69" t="str">
        <f aca="false">IF(AND(LEN(TRIM($B204&amp;""))&gt;0,ISNUMBER($C204),$C204&gt;0,ISNUMBER($D204),$D204&gt;0,ISNUMBER($E204),$E204&gt;0,ABS($E204-$C204*$D204)&lt;=MAX(1,0.005*ABS($E204)),LEN(TRIM($M204&amp;""))&gt;0,TRIM($M204&amp;"")&lt;&gt;"—",LEN(TRIM($P204&amp;""))=0),"PASS","FAIL — "&amp;IF(LEN(TRIM($P204&amp;""))&gt;0,TRIM($P204&amp;""),"line ≠ qty×unit, a required cell empty, or qty/£ non-positive"))</f>
        <v>PASS</v>
      </c>
      <c r="P204" s="70"/>
      <c r="Q204" s="16" t="str">
        <f aca="false">IF(AND(LEN(TRIM(A204&amp;""))&gt;0,TRIM(A204&amp;"")&lt;&gt;"—",LEN(TRIM(B204&amp;""))&gt;0,TRIM(B204&amp;"")&lt;&gt;"—",LEN(TRIM(C204&amp;""))&gt;0,TRIM(C204&amp;"")&lt;&gt;"—",ISNUMBER(C204),LEN(TRIM(D204&amp;""))&gt;0,TRIM(D204&amp;"")&lt;&gt;"—",ISNUMBER(D204),LEN(TRIM(E204&amp;""))&gt;0,TRIM(E204&amp;"")&lt;&gt;"—",ISNUMBER(E204),LEN(TRIM(F204&amp;""))&gt;0,TRIM(F204&amp;"")&lt;&gt;"—",LEN(TRIM(I204&amp;""))&gt;0,TRIM(I204&amp;"")&lt;&gt;"—",LEN(TRIM(J204&amp;""))&gt;0,TRIM(J204&amp;"")&lt;&gt;"—",LEN(TRIM(O204&amp;""))&gt;0,TRIM(O204&amp;"")&lt;&gt;"—"),"PASS","⚠ FAIL — "&amp;"a required cell is empty/placeholder or wrong type")</f>
        <v>PASS</v>
      </c>
    </row>
    <row r="205" customFormat="false" ht="15" hidden="true" customHeight="false" outlineLevel="1" collapsed="false">
      <c r="A205" s="11" t="s">
        <v>779</v>
      </c>
      <c r="B205" s="68" t="s">
        <v>605</v>
      </c>
      <c r="C205" s="28" t="n">
        <v>1</v>
      </c>
      <c r="D205" s="11" t="s">
        <v>479</v>
      </c>
      <c r="E205" s="11" t="s">
        <v>480</v>
      </c>
      <c r="F205" s="11" t="s">
        <v>429</v>
      </c>
      <c r="G205" s="15" t="s">
        <v>481</v>
      </c>
      <c r="H205" s="15"/>
      <c r="I205" s="11" t="n">
        <v>4</v>
      </c>
      <c r="J205" s="11" t="s">
        <v>432</v>
      </c>
      <c r="O205" s="69" t="str">
        <f aca="false">IF(AND(LEN(TRIM($B205&amp;""))&gt;0,LEN(TRIM($P205&amp;""))=0),"PASS","FAIL — "&amp;IF(LEN(TRIM($P205&amp;""))&gt;0,TRIM($P205&amp;""),"line ≠ qty×unit, a required cell empty, or qty/£ non-positive"))</f>
        <v>PASS</v>
      </c>
      <c r="P205" s="70"/>
      <c r="Q205" s="16" t="str">
        <f aca="false">IF(AND(LEN(TRIM(B205&amp;""))&gt;0,TRIM(B205&amp;"")&lt;&gt;"—",LEN(TRIM(C205&amp;""))&gt;0,TRIM(C205&amp;"")&lt;&gt;"—",ISNUMBER(C205),LEN(TRIM(F205&amp;""))&gt;0,TRIM(F205&amp;"")&lt;&gt;"—",LEN(TRIM(I205&amp;""))&gt;0,TRIM(I205&amp;"")&lt;&gt;"—",LEN(TRIM(J205&amp;""))&gt;0,TRIM(J205&amp;"")&lt;&gt;"—",LEN(TRIM(O205&amp;""))&gt;0,TRIM(O205&amp;"")&lt;&gt;"—"),"PASS","⚠ FAIL — "&amp;"a required cell is empty/placeholder or wrong type")</f>
        <v>PASS</v>
      </c>
    </row>
    <row r="206" customFormat="false" ht="15" hidden="true" customHeight="false" outlineLevel="1" collapsed="false">
      <c r="A206" s="11" t="s">
        <v>780</v>
      </c>
      <c r="B206" s="68" t="s">
        <v>607</v>
      </c>
      <c r="C206" s="28" t="n">
        <v>1</v>
      </c>
      <c r="D206" s="11" t="s">
        <v>479</v>
      </c>
      <c r="E206" s="11" t="s">
        <v>480</v>
      </c>
      <c r="F206" s="11" t="s">
        <v>429</v>
      </c>
      <c r="G206" s="15" t="s">
        <v>481</v>
      </c>
      <c r="H206" s="15"/>
      <c r="I206" s="11" t="n">
        <v>4</v>
      </c>
      <c r="J206" s="11" t="s">
        <v>432</v>
      </c>
      <c r="O206" s="69" t="str">
        <f aca="false">IF(AND(LEN(TRIM($B206&amp;""))&gt;0,LEN(TRIM($P206&amp;""))=0),"PASS","FAIL — "&amp;IF(LEN(TRIM($P206&amp;""))&gt;0,TRIM($P206&amp;""),"line ≠ qty×unit, a required cell empty, or qty/£ non-positive"))</f>
        <v>PASS</v>
      </c>
      <c r="P206" s="70"/>
      <c r="Q206" s="16" t="str">
        <f aca="false">IF(AND(LEN(TRIM(B206&amp;""))&gt;0,TRIM(B206&amp;"")&lt;&gt;"—",LEN(TRIM(C206&amp;""))&gt;0,TRIM(C206&amp;"")&lt;&gt;"—",ISNUMBER(C206),LEN(TRIM(F206&amp;""))&gt;0,TRIM(F206&amp;"")&lt;&gt;"—",LEN(TRIM(I206&amp;""))&gt;0,TRIM(I206&amp;"")&lt;&gt;"—",LEN(TRIM(J206&amp;""))&gt;0,TRIM(J206&amp;"")&lt;&gt;"—",LEN(TRIM(O206&amp;""))&gt;0,TRIM(O206&amp;"")&lt;&gt;"—"),"PASS","⚠ FAIL — "&amp;"a required cell is empty/placeholder or wrong type")</f>
        <v>PASS</v>
      </c>
    </row>
    <row r="207" customFormat="false" ht="15" hidden="true" customHeight="false" outlineLevel="1" collapsed="false">
      <c r="A207" s="11" t="s">
        <v>781</v>
      </c>
      <c r="B207" s="68" t="s">
        <v>609</v>
      </c>
      <c r="C207" s="28" t="n">
        <v>1</v>
      </c>
      <c r="D207" s="11" t="s">
        <v>479</v>
      </c>
      <c r="E207" s="11" t="s">
        <v>480</v>
      </c>
      <c r="F207" s="11" t="s">
        <v>436</v>
      </c>
      <c r="G207" s="15" t="s">
        <v>481</v>
      </c>
      <c r="H207" s="15"/>
      <c r="I207" s="11" t="n">
        <v>5</v>
      </c>
      <c r="J207" s="11" t="s">
        <v>432</v>
      </c>
      <c r="O207" s="69" t="str">
        <f aca="false">IF(AND(LEN(TRIM($B207&amp;""))&gt;0,LEN(TRIM($P207&amp;""))=0),"PASS","FAIL — "&amp;IF(LEN(TRIM($P207&amp;""))&gt;0,TRIM($P207&amp;""),"line ≠ qty×unit, a required cell empty, or qty/£ non-positive"))</f>
        <v>PASS</v>
      </c>
      <c r="P207" s="70"/>
      <c r="Q207" s="16" t="str">
        <f aca="false">IF(AND(LEN(TRIM(B207&amp;""))&gt;0,TRIM(B207&amp;"")&lt;&gt;"—",LEN(TRIM(C207&amp;""))&gt;0,TRIM(C207&amp;"")&lt;&gt;"—",ISNUMBER(C207),LEN(TRIM(F207&amp;""))&gt;0,TRIM(F207&amp;"")&lt;&gt;"—",LEN(TRIM(I207&amp;""))&gt;0,TRIM(I207&amp;"")&lt;&gt;"—",LEN(TRIM(J207&amp;""))&gt;0,TRIM(J207&amp;"")&lt;&gt;"—",LEN(TRIM(O207&amp;""))&gt;0,TRIM(O207&amp;"")&lt;&gt;"—"),"PASS","⚠ FAIL — "&amp;"a required cell is empty/placeholder or wrong type")</f>
        <v>PASS</v>
      </c>
    </row>
    <row r="208" customFormat="false" ht="15" hidden="true" customHeight="false" outlineLevel="1" collapsed="false">
      <c r="A208" s="11" t="s">
        <v>782</v>
      </c>
      <c r="B208" s="68" t="s">
        <v>611</v>
      </c>
      <c r="C208" s="28" t="n">
        <v>1</v>
      </c>
      <c r="D208" s="11" t="s">
        <v>479</v>
      </c>
      <c r="E208" s="11" t="s">
        <v>480</v>
      </c>
      <c r="F208" s="11" t="s">
        <v>436</v>
      </c>
      <c r="G208" s="15" t="s">
        <v>481</v>
      </c>
      <c r="H208" s="15"/>
      <c r="I208" s="11" t="n">
        <v>5</v>
      </c>
      <c r="J208" s="11" t="s">
        <v>432</v>
      </c>
      <c r="O208" s="69" t="str">
        <f aca="false">IF(AND(LEN(TRIM($B208&amp;""))&gt;0,LEN(TRIM($P208&amp;""))=0),"PASS","FAIL — "&amp;IF(LEN(TRIM($P208&amp;""))&gt;0,TRIM($P208&amp;""),"line ≠ qty×unit, a required cell empty, or qty/£ non-positive"))</f>
        <v>PASS</v>
      </c>
      <c r="P208" s="70"/>
      <c r="Q208" s="16" t="str">
        <f aca="false">IF(AND(LEN(TRIM(B208&amp;""))&gt;0,TRIM(B208&amp;"")&lt;&gt;"—",LEN(TRIM(C208&amp;""))&gt;0,TRIM(C208&amp;"")&lt;&gt;"—",ISNUMBER(C208),LEN(TRIM(F208&amp;""))&gt;0,TRIM(F208&amp;"")&lt;&gt;"—",LEN(TRIM(I208&amp;""))&gt;0,TRIM(I208&amp;"")&lt;&gt;"—",LEN(TRIM(J208&amp;""))&gt;0,TRIM(J208&amp;"")&lt;&gt;"—",LEN(TRIM(O208&amp;""))&gt;0,TRIM(O208&amp;"")&lt;&gt;"—"),"PASS","⚠ FAIL — "&amp;"a required cell is empty/placeholder or wrong type")</f>
        <v>PASS</v>
      </c>
    </row>
    <row r="209" customFormat="false" ht="15" hidden="true" customHeight="false" outlineLevel="1" collapsed="false">
      <c r="A209" s="11" t="s">
        <v>783</v>
      </c>
      <c r="B209" s="68" t="s">
        <v>613</v>
      </c>
      <c r="C209" s="28" t="n">
        <v>1</v>
      </c>
      <c r="D209" s="11" t="s">
        <v>479</v>
      </c>
      <c r="E209" s="11" t="s">
        <v>480</v>
      </c>
      <c r="F209" s="11" t="s">
        <v>436</v>
      </c>
      <c r="G209" s="15" t="s">
        <v>481</v>
      </c>
      <c r="H209" s="15"/>
      <c r="I209" s="11" t="n">
        <v>5</v>
      </c>
      <c r="J209" s="11" t="s">
        <v>432</v>
      </c>
      <c r="O209" s="69" t="str">
        <f aca="false">IF(AND(LEN(TRIM($B209&amp;""))&gt;0,LEN(TRIM($P209&amp;""))=0),"PASS","FAIL — "&amp;IF(LEN(TRIM($P209&amp;""))&gt;0,TRIM($P209&amp;""),"line ≠ qty×unit, a required cell empty, or qty/£ non-positive"))</f>
        <v>PASS</v>
      </c>
      <c r="P209" s="70"/>
      <c r="Q209" s="16" t="str">
        <f aca="false">IF(AND(LEN(TRIM(B209&amp;""))&gt;0,TRIM(B209&amp;"")&lt;&gt;"—",LEN(TRIM(C209&amp;""))&gt;0,TRIM(C209&amp;"")&lt;&gt;"—",ISNUMBER(C209),LEN(TRIM(F209&amp;""))&gt;0,TRIM(F209&amp;"")&lt;&gt;"—",LEN(TRIM(I209&amp;""))&gt;0,TRIM(I209&amp;"")&lt;&gt;"—",LEN(TRIM(J209&amp;""))&gt;0,TRIM(J209&amp;"")&lt;&gt;"—",LEN(TRIM(O209&amp;""))&gt;0,TRIM(O209&amp;"")&lt;&gt;"—"),"PASS","⚠ FAIL — "&amp;"a required cell is empty/placeholder or wrong type")</f>
        <v>PASS</v>
      </c>
    </row>
    <row r="210" customFormat="false" ht="15" hidden="true" customHeight="false" outlineLevel="1" collapsed="false">
      <c r="A210" s="11" t="s">
        <v>784</v>
      </c>
      <c r="B210" s="68" t="s">
        <v>615</v>
      </c>
      <c r="C210" s="28" t="n">
        <v>1</v>
      </c>
      <c r="D210" s="11" t="s">
        <v>479</v>
      </c>
      <c r="E210" s="11" t="s">
        <v>480</v>
      </c>
      <c r="F210" s="11" t="s">
        <v>429</v>
      </c>
      <c r="G210" s="15" t="s">
        <v>481</v>
      </c>
      <c r="H210" s="15"/>
      <c r="I210" s="11" t="n">
        <v>4</v>
      </c>
      <c r="J210" s="11" t="s">
        <v>432</v>
      </c>
      <c r="O210" s="69" t="str">
        <f aca="false">IF(AND(LEN(TRIM($B210&amp;""))&gt;0,LEN(TRIM($P210&amp;""))=0),"PASS","FAIL — "&amp;IF(LEN(TRIM($P210&amp;""))&gt;0,TRIM($P210&amp;""),"line ≠ qty×unit, a required cell empty, or qty/£ non-positive"))</f>
        <v>PASS</v>
      </c>
      <c r="P210" s="70"/>
      <c r="Q210" s="16" t="str">
        <f aca="false">IF(AND(LEN(TRIM(B210&amp;""))&gt;0,TRIM(B210&amp;"")&lt;&gt;"—",LEN(TRIM(C210&amp;""))&gt;0,TRIM(C210&amp;"")&lt;&gt;"—",ISNUMBER(C210),LEN(TRIM(F210&amp;""))&gt;0,TRIM(F210&amp;"")&lt;&gt;"—",LEN(TRIM(I210&amp;""))&gt;0,TRIM(I210&amp;"")&lt;&gt;"—",LEN(TRIM(J210&amp;""))&gt;0,TRIM(J210&amp;"")&lt;&gt;"—",LEN(TRIM(O210&amp;""))&gt;0,TRIM(O210&amp;"")&lt;&gt;"—"),"PASS","⚠ FAIL — "&amp;"a required cell is empty/placeholder or wrong type")</f>
        <v>PASS</v>
      </c>
    </row>
    <row r="211" customFormat="false" ht="15" hidden="true" customHeight="false" outlineLevel="1" collapsed="false">
      <c r="A211" s="11" t="s">
        <v>785</v>
      </c>
      <c r="B211" s="68" t="s">
        <v>617</v>
      </c>
      <c r="C211" s="28" t="n">
        <v>1</v>
      </c>
      <c r="D211" s="11" t="s">
        <v>479</v>
      </c>
      <c r="E211" s="11" t="s">
        <v>480</v>
      </c>
      <c r="F211" s="11" t="s">
        <v>436</v>
      </c>
      <c r="G211" s="15" t="s">
        <v>481</v>
      </c>
      <c r="H211" s="15"/>
      <c r="I211" s="11" t="n">
        <v>5</v>
      </c>
      <c r="J211" s="11" t="s">
        <v>432</v>
      </c>
      <c r="O211" s="69" t="str">
        <f aca="false">IF(AND(LEN(TRIM($B211&amp;""))&gt;0,LEN(TRIM($P211&amp;""))=0),"PASS","FAIL — "&amp;IF(LEN(TRIM($P211&amp;""))&gt;0,TRIM($P211&amp;""),"line ≠ qty×unit, a required cell empty, or qty/£ non-positive"))</f>
        <v>PASS</v>
      </c>
      <c r="P211" s="70"/>
      <c r="Q211" s="16" t="str">
        <f aca="false">IF(AND(LEN(TRIM(B211&amp;""))&gt;0,TRIM(B211&amp;"")&lt;&gt;"—",LEN(TRIM(C211&amp;""))&gt;0,TRIM(C211&amp;"")&lt;&gt;"—",ISNUMBER(C211),LEN(TRIM(F211&amp;""))&gt;0,TRIM(F211&amp;"")&lt;&gt;"—",LEN(TRIM(I211&amp;""))&gt;0,TRIM(I211&amp;"")&lt;&gt;"—",LEN(TRIM(J211&amp;""))&gt;0,TRIM(J211&amp;"")&lt;&gt;"—",LEN(TRIM(O211&amp;""))&gt;0,TRIM(O211&amp;"")&lt;&gt;"—"),"PASS","⚠ FAIL — "&amp;"a required cell is empty/placeholder or wrong type")</f>
        <v>PASS</v>
      </c>
    </row>
    <row r="212" customFormat="false" ht="15" hidden="true" customHeight="false" outlineLevel="1" collapsed="false">
      <c r="A212" s="11" t="s">
        <v>786</v>
      </c>
      <c r="B212" s="68" t="s">
        <v>619</v>
      </c>
      <c r="C212" s="28" t="n">
        <v>1</v>
      </c>
      <c r="D212" s="11" t="s">
        <v>479</v>
      </c>
      <c r="E212" s="11" t="s">
        <v>480</v>
      </c>
      <c r="F212" s="11" t="s">
        <v>429</v>
      </c>
      <c r="G212" s="15" t="s">
        <v>481</v>
      </c>
      <c r="H212" s="15"/>
      <c r="I212" s="11" t="n">
        <v>4</v>
      </c>
      <c r="J212" s="11" t="s">
        <v>432</v>
      </c>
      <c r="O212" s="69" t="str">
        <f aca="false">IF(AND(LEN(TRIM($B212&amp;""))&gt;0,LEN(TRIM($P212&amp;""))=0),"PASS","FAIL — "&amp;IF(LEN(TRIM($P212&amp;""))&gt;0,TRIM($P212&amp;""),"line ≠ qty×unit, a required cell empty, or qty/£ non-positive"))</f>
        <v>PASS</v>
      </c>
      <c r="P212" s="70"/>
      <c r="Q212" s="16" t="str">
        <f aca="false">IF(AND(LEN(TRIM(B212&amp;""))&gt;0,TRIM(B212&amp;"")&lt;&gt;"—",LEN(TRIM(C212&amp;""))&gt;0,TRIM(C212&amp;"")&lt;&gt;"—",ISNUMBER(C212),LEN(TRIM(F212&amp;""))&gt;0,TRIM(F212&amp;"")&lt;&gt;"—",LEN(TRIM(I212&amp;""))&gt;0,TRIM(I212&amp;"")&lt;&gt;"—",LEN(TRIM(J212&amp;""))&gt;0,TRIM(J212&amp;"")&lt;&gt;"—",LEN(TRIM(O212&amp;""))&gt;0,TRIM(O212&amp;"")&lt;&gt;"—"),"PASS","⚠ FAIL — "&amp;"a required cell is empty/placeholder or wrong type")</f>
        <v>PASS</v>
      </c>
    </row>
    <row r="213" customFormat="false" ht="15" hidden="true" customHeight="false" outlineLevel="1" collapsed="false">
      <c r="A213" s="11" t="s">
        <v>787</v>
      </c>
      <c r="B213" s="68" t="s">
        <v>621</v>
      </c>
      <c r="C213" s="28" t="n">
        <v>1</v>
      </c>
      <c r="D213" s="11" t="s">
        <v>479</v>
      </c>
      <c r="E213" s="11" t="s">
        <v>480</v>
      </c>
      <c r="F213" s="11" t="s">
        <v>436</v>
      </c>
      <c r="G213" s="15" t="s">
        <v>481</v>
      </c>
      <c r="H213" s="15"/>
      <c r="I213" s="11" t="n">
        <v>5</v>
      </c>
      <c r="J213" s="11" t="s">
        <v>432</v>
      </c>
      <c r="O213" s="69" t="str">
        <f aca="false">IF(AND(LEN(TRIM($B213&amp;""))&gt;0,LEN(TRIM($P213&amp;""))=0),"PASS","FAIL — "&amp;IF(LEN(TRIM($P213&amp;""))&gt;0,TRIM($P213&amp;""),"line ≠ qty×unit, a required cell empty, or qty/£ non-positive"))</f>
        <v>PASS</v>
      </c>
      <c r="P213" s="70"/>
      <c r="Q213" s="16" t="str">
        <f aca="false">IF(AND(LEN(TRIM(B213&amp;""))&gt;0,TRIM(B213&amp;"")&lt;&gt;"—",LEN(TRIM(C213&amp;""))&gt;0,TRIM(C213&amp;"")&lt;&gt;"—",ISNUMBER(C213),LEN(TRIM(F213&amp;""))&gt;0,TRIM(F213&amp;"")&lt;&gt;"—",LEN(TRIM(I213&amp;""))&gt;0,TRIM(I213&amp;"")&lt;&gt;"—",LEN(TRIM(J213&amp;""))&gt;0,TRIM(J213&amp;"")&lt;&gt;"—",LEN(TRIM(O213&amp;""))&gt;0,TRIM(O213&amp;"")&lt;&gt;"—"),"PASS","⚠ FAIL — "&amp;"a required cell is empty/placeholder or wrong type")</f>
        <v>PASS</v>
      </c>
    </row>
    <row r="214" customFormat="false" ht="15" hidden="true" customHeight="false" outlineLevel="1" collapsed="false">
      <c r="A214" s="11" t="s">
        <v>788</v>
      </c>
      <c r="B214" s="68" t="s">
        <v>567</v>
      </c>
      <c r="C214" s="28" t="n">
        <v>1</v>
      </c>
      <c r="D214" s="11" t="s">
        <v>479</v>
      </c>
      <c r="E214" s="11" t="s">
        <v>480</v>
      </c>
      <c r="F214" s="11" t="s">
        <v>436</v>
      </c>
      <c r="G214" s="15" t="s">
        <v>481</v>
      </c>
      <c r="H214" s="15"/>
      <c r="I214" s="11" t="n">
        <v>5</v>
      </c>
      <c r="J214" s="11" t="s">
        <v>432</v>
      </c>
      <c r="O214" s="69" t="str">
        <f aca="false">IF(AND(LEN(TRIM($B214&amp;""))&gt;0,LEN(TRIM($P214&amp;""))=0),"PASS","FAIL — "&amp;IF(LEN(TRIM($P214&amp;""))&gt;0,TRIM($P214&amp;""),"line ≠ qty×unit, a required cell empty, or qty/£ non-positive"))</f>
        <v>PASS</v>
      </c>
      <c r="P214" s="70"/>
      <c r="Q214" s="16" t="str">
        <f aca="false">IF(AND(LEN(TRIM(B214&amp;""))&gt;0,TRIM(B214&amp;"")&lt;&gt;"—",LEN(TRIM(C214&amp;""))&gt;0,TRIM(C214&amp;"")&lt;&gt;"—",ISNUMBER(C214),LEN(TRIM(F214&amp;""))&gt;0,TRIM(F214&amp;"")&lt;&gt;"—",LEN(TRIM(I214&amp;""))&gt;0,TRIM(I214&amp;"")&lt;&gt;"—",LEN(TRIM(J214&amp;""))&gt;0,TRIM(J214&amp;"")&lt;&gt;"—",LEN(TRIM(O214&amp;""))&gt;0,TRIM(O214&amp;"")&lt;&gt;"—"),"PASS","⚠ FAIL — "&amp;"a required cell is empty/placeholder or wrong type")</f>
        <v>PASS</v>
      </c>
    </row>
    <row r="215" customFormat="false" ht="15" hidden="true" customHeight="false" outlineLevel="1" collapsed="false">
      <c r="A215" s="11" t="s">
        <v>789</v>
      </c>
      <c r="B215" s="68" t="s">
        <v>499</v>
      </c>
      <c r="C215" s="28" t="n">
        <v>1</v>
      </c>
      <c r="D215" s="11" t="s">
        <v>479</v>
      </c>
      <c r="E215" s="11" t="s">
        <v>480</v>
      </c>
      <c r="F215" s="11" t="s">
        <v>436</v>
      </c>
      <c r="G215" s="15" t="s">
        <v>481</v>
      </c>
      <c r="H215" s="15"/>
      <c r="I215" s="11" t="n">
        <v>5</v>
      </c>
      <c r="J215" s="11" t="s">
        <v>432</v>
      </c>
      <c r="O215" s="69" t="str">
        <f aca="false">IF(AND(LEN(TRIM($B215&amp;""))&gt;0,LEN(TRIM($P215&amp;""))=0),"PASS","FAIL — "&amp;IF(LEN(TRIM($P215&amp;""))&gt;0,TRIM($P215&amp;""),"line ≠ qty×unit, a required cell empty, or qty/£ non-positive"))</f>
        <v>PASS</v>
      </c>
      <c r="P215" s="70"/>
      <c r="Q215" s="16" t="str">
        <f aca="false">IF(AND(LEN(TRIM(B215&amp;""))&gt;0,TRIM(B215&amp;"")&lt;&gt;"—",LEN(TRIM(C215&amp;""))&gt;0,TRIM(C215&amp;"")&lt;&gt;"—",ISNUMBER(C215),LEN(TRIM(F215&amp;""))&gt;0,TRIM(F215&amp;"")&lt;&gt;"—",LEN(TRIM(I215&amp;""))&gt;0,TRIM(I215&amp;"")&lt;&gt;"—",LEN(TRIM(J215&amp;""))&gt;0,TRIM(J215&amp;"")&lt;&gt;"—",LEN(TRIM(O215&amp;""))&gt;0,TRIM(O215&amp;"")&lt;&gt;"—"),"PASS","⚠ FAIL — "&amp;"a required cell is empty/placeholder or wrong type")</f>
        <v>PASS</v>
      </c>
    </row>
    <row r="216" customFormat="false" ht="32.8" hidden="false" customHeight="false" outlineLevel="0" collapsed="true">
      <c r="A216" s="11" t="str">
        <f aca="false">'Part names'!$A$27</f>
        <v>TK-106</v>
      </c>
      <c r="B216" s="68" t="str">
        <f aca="false">'Part names'!$B$27 &amp; "  · 3.7 m dia x 3.7 m"</f>
        <v>Drain Water Tank  · 3.7 m dia x 3.7 m</v>
      </c>
      <c r="C216" s="28" t="n">
        <v>2</v>
      </c>
      <c r="D216" s="36" t="n">
        <v>13615</v>
      </c>
      <c r="E216" s="36" t="n">
        <v>27230</v>
      </c>
      <c r="F216" s="11" t="s">
        <v>429</v>
      </c>
      <c r="G216" s="15" t="s">
        <v>775</v>
      </c>
      <c r="H216" s="15" t="s">
        <v>776</v>
      </c>
      <c r="I216" s="11" t="n">
        <v>4</v>
      </c>
      <c r="J216" s="11" t="s">
        <v>432</v>
      </c>
      <c r="K216" s="15" t="s">
        <v>790</v>
      </c>
      <c r="L216" s="68" t="s">
        <v>602</v>
      </c>
      <c r="M216" s="15" t="s">
        <v>778</v>
      </c>
      <c r="N216" s="68" t="s">
        <v>476</v>
      </c>
      <c r="O216" s="69" t="str">
        <f aca="false">IF(AND(LEN(TRIM($B216&amp;""))&gt;0,ISNUMBER($C216),$C216&gt;0,ISNUMBER($D216),$D216&gt;0,ISNUMBER($E216),$E216&gt;0,ABS($E216-$C216*$D216)&lt;=MAX(1,0.005*ABS($E216)),LEN(TRIM($M216&amp;""))&gt;0,TRIM($M216&amp;"")&lt;&gt;"—",LEN(TRIM($P216&amp;""))=0),"PASS","FAIL — "&amp;IF(LEN(TRIM($P216&amp;""))&gt;0,TRIM($P216&amp;""),"line ≠ qty×unit, a required cell empty, or qty/£ non-positive"))</f>
        <v>PASS</v>
      </c>
      <c r="P216" s="70"/>
      <c r="Q216" s="16" t="str">
        <f aca="false">IF(AND(LEN(TRIM(A216&amp;""))&gt;0,TRIM(A216&amp;"")&lt;&gt;"—",LEN(TRIM(B216&amp;""))&gt;0,TRIM(B216&amp;"")&lt;&gt;"—",LEN(TRIM(C216&amp;""))&gt;0,TRIM(C216&amp;"")&lt;&gt;"—",ISNUMBER(C216),LEN(TRIM(D216&amp;""))&gt;0,TRIM(D216&amp;"")&lt;&gt;"—",ISNUMBER(D216),LEN(TRIM(E216&amp;""))&gt;0,TRIM(E216&amp;"")&lt;&gt;"—",ISNUMBER(E216),LEN(TRIM(F216&amp;""))&gt;0,TRIM(F216&amp;"")&lt;&gt;"—",LEN(TRIM(I216&amp;""))&gt;0,TRIM(I216&amp;"")&lt;&gt;"—",LEN(TRIM(J216&amp;""))&gt;0,TRIM(J216&amp;"")&lt;&gt;"—",LEN(TRIM(O216&amp;""))&gt;0,TRIM(O216&amp;"")&lt;&gt;"—"),"PASS","⚠ FAIL — "&amp;"a required cell is empty/placeholder or wrong type")</f>
        <v>PASS</v>
      </c>
    </row>
    <row r="217" customFormat="false" ht="15" hidden="true" customHeight="false" outlineLevel="1" collapsed="false">
      <c r="A217" s="11" t="s">
        <v>791</v>
      </c>
      <c r="B217" s="68" t="s">
        <v>605</v>
      </c>
      <c r="C217" s="28" t="n">
        <v>1</v>
      </c>
      <c r="D217" s="11" t="s">
        <v>479</v>
      </c>
      <c r="E217" s="11" t="s">
        <v>480</v>
      </c>
      <c r="F217" s="11" t="s">
        <v>429</v>
      </c>
      <c r="G217" s="15" t="s">
        <v>481</v>
      </c>
      <c r="H217" s="15"/>
      <c r="I217" s="11" t="n">
        <v>4</v>
      </c>
      <c r="J217" s="11" t="s">
        <v>432</v>
      </c>
      <c r="O217" s="69" t="str">
        <f aca="false">IF(AND(LEN(TRIM($B217&amp;""))&gt;0,LEN(TRIM($P217&amp;""))=0),"PASS","FAIL — "&amp;IF(LEN(TRIM($P217&amp;""))&gt;0,TRIM($P217&amp;""),"line ≠ qty×unit, a required cell empty, or qty/£ non-positive"))</f>
        <v>PASS</v>
      </c>
      <c r="P217" s="70"/>
      <c r="Q217" s="16" t="str">
        <f aca="false">IF(AND(LEN(TRIM(B217&amp;""))&gt;0,TRIM(B217&amp;"")&lt;&gt;"—",LEN(TRIM(C217&amp;""))&gt;0,TRIM(C217&amp;"")&lt;&gt;"—",ISNUMBER(C217),LEN(TRIM(F217&amp;""))&gt;0,TRIM(F217&amp;"")&lt;&gt;"—",LEN(TRIM(I217&amp;""))&gt;0,TRIM(I217&amp;"")&lt;&gt;"—",LEN(TRIM(J217&amp;""))&gt;0,TRIM(J217&amp;"")&lt;&gt;"—",LEN(TRIM(O217&amp;""))&gt;0,TRIM(O217&amp;"")&lt;&gt;"—"),"PASS","⚠ FAIL — "&amp;"a required cell is empty/placeholder or wrong type")</f>
        <v>PASS</v>
      </c>
    </row>
    <row r="218" customFormat="false" ht="15" hidden="true" customHeight="false" outlineLevel="1" collapsed="false">
      <c r="A218" s="11" t="s">
        <v>792</v>
      </c>
      <c r="B218" s="68" t="s">
        <v>607</v>
      </c>
      <c r="C218" s="28" t="n">
        <v>1</v>
      </c>
      <c r="D218" s="11" t="s">
        <v>479</v>
      </c>
      <c r="E218" s="11" t="s">
        <v>480</v>
      </c>
      <c r="F218" s="11" t="s">
        <v>429</v>
      </c>
      <c r="G218" s="15" t="s">
        <v>481</v>
      </c>
      <c r="H218" s="15"/>
      <c r="I218" s="11" t="n">
        <v>4</v>
      </c>
      <c r="J218" s="11" t="s">
        <v>432</v>
      </c>
      <c r="O218" s="69" t="str">
        <f aca="false">IF(AND(LEN(TRIM($B218&amp;""))&gt;0,LEN(TRIM($P218&amp;""))=0),"PASS","FAIL — "&amp;IF(LEN(TRIM($P218&amp;""))&gt;0,TRIM($P218&amp;""),"line ≠ qty×unit, a required cell empty, or qty/£ non-positive"))</f>
        <v>PASS</v>
      </c>
      <c r="P218" s="70"/>
      <c r="Q218" s="16" t="str">
        <f aca="false">IF(AND(LEN(TRIM(B218&amp;""))&gt;0,TRIM(B218&amp;"")&lt;&gt;"—",LEN(TRIM(C218&amp;""))&gt;0,TRIM(C218&amp;"")&lt;&gt;"—",ISNUMBER(C218),LEN(TRIM(F218&amp;""))&gt;0,TRIM(F218&amp;"")&lt;&gt;"—",LEN(TRIM(I218&amp;""))&gt;0,TRIM(I218&amp;"")&lt;&gt;"—",LEN(TRIM(J218&amp;""))&gt;0,TRIM(J218&amp;"")&lt;&gt;"—",LEN(TRIM(O218&amp;""))&gt;0,TRIM(O218&amp;"")&lt;&gt;"—"),"PASS","⚠ FAIL — "&amp;"a required cell is empty/placeholder or wrong type")</f>
        <v>PASS</v>
      </c>
    </row>
    <row r="219" customFormat="false" ht="15" hidden="true" customHeight="false" outlineLevel="1" collapsed="false">
      <c r="A219" s="11" t="s">
        <v>793</v>
      </c>
      <c r="B219" s="68" t="s">
        <v>609</v>
      </c>
      <c r="C219" s="28" t="n">
        <v>1</v>
      </c>
      <c r="D219" s="11" t="s">
        <v>479</v>
      </c>
      <c r="E219" s="11" t="s">
        <v>480</v>
      </c>
      <c r="F219" s="11" t="s">
        <v>436</v>
      </c>
      <c r="G219" s="15" t="s">
        <v>481</v>
      </c>
      <c r="H219" s="15"/>
      <c r="I219" s="11" t="n">
        <v>5</v>
      </c>
      <c r="J219" s="11" t="s">
        <v>432</v>
      </c>
      <c r="O219" s="69" t="str">
        <f aca="false">IF(AND(LEN(TRIM($B219&amp;""))&gt;0,LEN(TRIM($P219&amp;""))=0),"PASS","FAIL — "&amp;IF(LEN(TRIM($P219&amp;""))&gt;0,TRIM($P219&amp;""),"line ≠ qty×unit, a required cell empty, or qty/£ non-positive"))</f>
        <v>PASS</v>
      </c>
      <c r="P219" s="70"/>
      <c r="Q219" s="16" t="str">
        <f aca="false">IF(AND(LEN(TRIM(B219&amp;""))&gt;0,TRIM(B219&amp;"")&lt;&gt;"—",LEN(TRIM(C219&amp;""))&gt;0,TRIM(C219&amp;"")&lt;&gt;"—",ISNUMBER(C219),LEN(TRIM(F219&amp;""))&gt;0,TRIM(F219&amp;"")&lt;&gt;"—",LEN(TRIM(I219&amp;""))&gt;0,TRIM(I219&amp;"")&lt;&gt;"—",LEN(TRIM(J219&amp;""))&gt;0,TRIM(J219&amp;"")&lt;&gt;"—",LEN(TRIM(O219&amp;""))&gt;0,TRIM(O219&amp;"")&lt;&gt;"—"),"PASS","⚠ FAIL — "&amp;"a required cell is empty/placeholder or wrong type")</f>
        <v>PASS</v>
      </c>
    </row>
    <row r="220" customFormat="false" ht="15" hidden="true" customHeight="false" outlineLevel="1" collapsed="false">
      <c r="A220" s="11" t="s">
        <v>794</v>
      </c>
      <c r="B220" s="68" t="s">
        <v>611</v>
      </c>
      <c r="C220" s="28" t="n">
        <v>1</v>
      </c>
      <c r="D220" s="11" t="s">
        <v>479</v>
      </c>
      <c r="E220" s="11" t="s">
        <v>480</v>
      </c>
      <c r="F220" s="11" t="s">
        <v>436</v>
      </c>
      <c r="G220" s="15" t="s">
        <v>481</v>
      </c>
      <c r="H220" s="15"/>
      <c r="I220" s="11" t="n">
        <v>5</v>
      </c>
      <c r="J220" s="11" t="s">
        <v>432</v>
      </c>
      <c r="O220" s="69" t="str">
        <f aca="false">IF(AND(LEN(TRIM($B220&amp;""))&gt;0,LEN(TRIM($P220&amp;""))=0),"PASS","FAIL — "&amp;IF(LEN(TRIM($P220&amp;""))&gt;0,TRIM($P220&amp;""),"line ≠ qty×unit, a required cell empty, or qty/£ non-positive"))</f>
        <v>PASS</v>
      </c>
      <c r="P220" s="70"/>
      <c r="Q220" s="16" t="str">
        <f aca="false">IF(AND(LEN(TRIM(B220&amp;""))&gt;0,TRIM(B220&amp;"")&lt;&gt;"—",LEN(TRIM(C220&amp;""))&gt;0,TRIM(C220&amp;"")&lt;&gt;"—",ISNUMBER(C220),LEN(TRIM(F220&amp;""))&gt;0,TRIM(F220&amp;"")&lt;&gt;"—",LEN(TRIM(I220&amp;""))&gt;0,TRIM(I220&amp;"")&lt;&gt;"—",LEN(TRIM(J220&amp;""))&gt;0,TRIM(J220&amp;"")&lt;&gt;"—",LEN(TRIM(O220&amp;""))&gt;0,TRIM(O220&amp;"")&lt;&gt;"—"),"PASS","⚠ FAIL — "&amp;"a required cell is empty/placeholder or wrong type")</f>
        <v>PASS</v>
      </c>
    </row>
    <row r="221" customFormat="false" ht="15" hidden="true" customHeight="false" outlineLevel="1" collapsed="false">
      <c r="A221" s="11" t="s">
        <v>795</v>
      </c>
      <c r="B221" s="68" t="s">
        <v>613</v>
      </c>
      <c r="C221" s="28" t="n">
        <v>1</v>
      </c>
      <c r="D221" s="11" t="s">
        <v>479</v>
      </c>
      <c r="E221" s="11" t="s">
        <v>480</v>
      </c>
      <c r="F221" s="11" t="s">
        <v>436</v>
      </c>
      <c r="G221" s="15" t="s">
        <v>481</v>
      </c>
      <c r="H221" s="15"/>
      <c r="I221" s="11" t="n">
        <v>5</v>
      </c>
      <c r="J221" s="11" t="s">
        <v>432</v>
      </c>
      <c r="O221" s="69" t="str">
        <f aca="false">IF(AND(LEN(TRIM($B221&amp;""))&gt;0,LEN(TRIM($P221&amp;""))=0),"PASS","FAIL — "&amp;IF(LEN(TRIM($P221&amp;""))&gt;0,TRIM($P221&amp;""),"line ≠ qty×unit, a required cell empty, or qty/£ non-positive"))</f>
        <v>PASS</v>
      </c>
      <c r="P221" s="70"/>
      <c r="Q221" s="16" t="str">
        <f aca="false">IF(AND(LEN(TRIM(B221&amp;""))&gt;0,TRIM(B221&amp;"")&lt;&gt;"—",LEN(TRIM(C221&amp;""))&gt;0,TRIM(C221&amp;"")&lt;&gt;"—",ISNUMBER(C221),LEN(TRIM(F221&amp;""))&gt;0,TRIM(F221&amp;"")&lt;&gt;"—",LEN(TRIM(I221&amp;""))&gt;0,TRIM(I221&amp;"")&lt;&gt;"—",LEN(TRIM(J221&amp;""))&gt;0,TRIM(J221&amp;"")&lt;&gt;"—",LEN(TRIM(O221&amp;""))&gt;0,TRIM(O221&amp;"")&lt;&gt;"—"),"PASS","⚠ FAIL — "&amp;"a required cell is empty/placeholder or wrong type")</f>
        <v>PASS</v>
      </c>
    </row>
    <row r="222" customFormat="false" ht="15" hidden="true" customHeight="false" outlineLevel="1" collapsed="false">
      <c r="A222" s="11" t="s">
        <v>796</v>
      </c>
      <c r="B222" s="68" t="s">
        <v>615</v>
      </c>
      <c r="C222" s="28" t="n">
        <v>1</v>
      </c>
      <c r="D222" s="11" t="s">
        <v>479</v>
      </c>
      <c r="E222" s="11" t="s">
        <v>480</v>
      </c>
      <c r="F222" s="11" t="s">
        <v>429</v>
      </c>
      <c r="G222" s="15" t="s">
        <v>481</v>
      </c>
      <c r="H222" s="15"/>
      <c r="I222" s="11" t="n">
        <v>4</v>
      </c>
      <c r="J222" s="11" t="s">
        <v>432</v>
      </c>
      <c r="O222" s="69" t="str">
        <f aca="false">IF(AND(LEN(TRIM($B222&amp;""))&gt;0,LEN(TRIM($P222&amp;""))=0),"PASS","FAIL — "&amp;IF(LEN(TRIM($P222&amp;""))&gt;0,TRIM($P222&amp;""),"line ≠ qty×unit, a required cell empty, or qty/£ non-positive"))</f>
        <v>PASS</v>
      </c>
      <c r="P222" s="70"/>
      <c r="Q222" s="16" t="str">
        <f aca="false">IF(AND(LEN(TRIM(B222&amp;""))&gt;0,TRIM(B222&amp;"")&lt;&gt;"—",LEN(TRIM(C222&amp;""))&gt;0,TRIM(C222&amp;"")&lt;&gt;"—",ISNUMBER(C222),LEN(TRIM(F222&amp;""))&gt;0,TRIM(F222&amp;"")&lt;&gt;"—",LEN(TRIM(I222&amp;""))&gt;0,TRIM(I222&amp;"")&lt;&gt;"—",LEN(TRIM(J222&amp;""))&gt;0,TRIM(J222&amp;"")&lt;&gt;"—",LEN(TRIM(O222&amp;""))&gt;0,TRIM(O222&amp;"")&lt;&gt;"—"),"PASS","⚠ FAIL — "&amp;"a required cell is empty/placeholder or wrong type")</f>
        <v>PASS</v>
      </c>
    </row>
    <row r="223" customFormat="false" ht="15" hidden="true" customHeight="false" outlineLevel="1" collapsed="false">
      <c r="A223" s="11" t="s">
        <v>797</v>
      </c>
      <c r="B223" s="68" t="s">
        <v>617</v>
      </c>
      <c r="C223" s="28" t="n">
        <v>1</v>
      </c>
      <c r="D223" s="11" t="s">
        <v>479</v>
      </c>
      <c r="E223" s="11" t="s">
        <v>480</v>
      </c>
      <c r="F223" s="11" t="s">
        <v>436</v>
      </c>
      <c r="G223" s="15" t="s">
        <v>481</v>
      </c>
      <c r="H223" s="15"/>
      <c r="I223" s="11" t="n">
        <v>5</v>
      </c>
      <c r="J223" s="11" t="s">
        <v>432</v>
      </c>
      <c r="O223" s="69" t="str">
        <f aca="false">IF(AND(LEN(TRIM($B223&amp;""))&gt;0,LEN(TRIM($P223&amp;""))=0),"PASS","FAIL — "&amp;IF(LEN(TRIM($P223&amp;""))&gt;0,TRIM($P223&amp;""),"line ≠ qty×unit, a required cell empty, or qty/£ non-positive"))</f>
        <v>PASS</v>
      </c>
      <c r="P223" s="70"/>
      <c r="Q223" s="16" t="str">
        <f aca="false">IF(AND(LEN(TRIM(B223&amp;""))&gt;0,TRIM(B223&amp;"")&lt;&gt;"—",LEN(TRIM(C223&amp;""))&gt;0,TRIM(C223&amp;"")&lt;&gt;"—",ISNUMBER(C223),LEN(TRIM(F223&amp;""))&gt;0,TRIM(F223&amp;"")&lt;&gt;"—",LEN(TRIM(I223&amp;""))&gt;0,TRIM(I223&amp;"")&lt;&gt;"—",LEN(TRIM(J223&amp;""))&gt;0,TRIM(J223&amp;"")&lt;&gt;"—",LEN(TRIM(O223&amp;""))&gt;0,TRIM(O223&amp;"")&lt;&gt;"—"),"PASS","⚠ FAIL — "&amp;"a required cell is empty/placeholder or wrong type")</f>
        <v>PASS</v>
      </c>
    </row>
    <row r="224" customFormat="false" ht="15" hidden="true" customHeight="false" outlineLevel="1" collapsed="false">
      <c r="A224" s="11" t="s">
        <v>798</v>
      </c>
      <c r="B224" s="68" t="s">
        <v>619</v>
      </c>
      <c r="C224" s="28" t="n">
        <v>1</v>
      </c>
      <c r="D224" s="11" t="s">
        <v>479</v>
      </c>
      <c r="E224" s="11" t="s">
        <v>480</v>
      </c>
      <c r="F224" s="11" t="s">
        <v>429</v>
      </c>
      <c r="G224" s="15" t="s">
        <v>481</v>
      </c>
      <c r="H224" s="15"/>
      <c r="I224" s="11" t="n">
        <v>4</v>
      </c>
      <c r="J224" s="11" t="s">
        <v>432</v>
      </c>
      <c r="O224" s="69" t="str">
        <f aca="false">IF(AND(LEN(TRIM($B224&amp;""))&gt;0,LEN(TRIM($P224&amp;""))=0),"PASS","FAIL — "&amp;IF(LEN(TRIM($P224&amp;""))&gt;0,TRIM($P224&amp;""),"line ≠ qty×unit, a required cell empty, or qty/£ non-positive"))</f>
        <v>PASS</v>
      </c>
      <c r="P224" s="70"/>
      <c r="Q224" s="16" t="str">
        <f aca="false">IF(AND(LEN(TRIM(B224&amp;""))&gt;0,TRIM(B224&amp;"")&lt;&gt;"—",LEN(TRIM(C224&amp;""))&gt;0,TRIM(C224&amp;"")&lt;&gt;"—",ISNUMBER(C224),LEN(TRIM(F224&amp;""))&gt;0,TRIM(F224&amp;"")&lt;&gt;"—",LEN(TRIM(I224&amp;""))&gt;0,TRIM(I224&amp;"")&lt;&gt;"—",LEN(TRIM(J224&amp;""))&gt;0,TRIM(J224&amp;"")&lt;&gt;"—",LEN(TRIM(O224&amp;""))&gt;0,TRIM(O224&amp;"")&lt;&gt;"—"),"PASS","⚠ FAIL — "&amp;"a required cell is empty/placeholder or wrong type")</f>
        <v>PASS</v>
      </c>
    </row>
    <row r="225" customFormat="false" ht="15" hidden="true" customHeight="false" outlineLevel="1" collapsed="false">
      <c r="A225" s="11" t="s">
        <v>799</v>
      </c>
      <c r="B225" s="68" t="s">
        <v>621</v>
      </c>
      <c r="C225" s="28" t="n">
        <v>1</v>
      </c>
      <c r="D225" s="11" t="s">
        <v>479</v>
      </c>
      <c r="E225" s="11" t="s">
        <v>480</v>
      </c>
      <c r="F225" s="11" t="s">
        <v>436</v>
      </c>
      <c r="G225" s="15" t="s">
        <v>481</v>
      </c>
      <c r="H225" s="15"/>
      <c r="I225" s="11" t="n">
        <v>5</v>
      </c>
      <c r="J225" s="11" t="s">
        <v>432</v>
      </c>
      <c r="O225" s="69" t="str">
        <f aca="false">IF(AND(LEN(TRIM($B225&amp;""))&gt;0,LEN(TRIM($P225&amp;""))=0),"PASS","FAIL — "&amp;IF(LEN(TRIM($P225&amp;""))&gt;0,TRIM($P225&amp;""),"line ≠ qty×unit, a required cell empty, or qty/£ non-positive"))</f>
        <v>PASS</v>
      </c>
      <c r="P225" s="70"/>
      <c r="Q225" s="16" t="str">
        <f aca="false">IF(AND(LEN(TRIM(B225&amp;""))&gt;0,TRIM(B225&amp;"")&lt;&gt;"—",LEN(TRIM(C225&amp;""))&gt;0,TRIM(C225&amp;"")&lt;&gt;"—",ISNUMBER(C225),LEN(TRIM(F225&amp;""))&gt;0,TRIM(F225&amp;"")&lt;&gt;"—",LEN(TRIM(I225&amp;""))&gt;0,TRIM(I225&amp;"")&lt;&gt;"—",LEN(TRIM(J225&amp;""))&gt;0,TRIM(J225&amp;"")&lt;&gt;"—",LEN(TRIM(O225&amp;""))&gt;0,TRIM(O225&amp;"")&lt;&gt;"—"),"PASS","⚠ FAIL — "&amp;"a required cell is empty/placeholder or wrong type")</f>
        <v>PASS</v>
      </c>
    </row>
    <row r="226" customFormat="false" ht="15" hidden="true" customHeight="false" outlineLevel="1" collapsed="false">
      <c r="A226" s="11" t="s">
        <v>800</v>
      </c>
      <c r="B226" s="68" t="s">
        <v>567</v>
      </c>
      <c r="C226" s="28" t="n">
        <v>1</v>
      </c>
      <c r="D226" s="11" t="s">
        <v>479</v>
      </c>
      <c r="E226" s="11" t="s">
        <v>480</v>
      </c>
      <c r="F226" s="11" t="s">
        <v>436</v>
      </c>
      <c r="G226" s="15" t="s">
        <v>481</v>
      </c>
      <c r="H226" s="15"/>
      <c r="I226" s="11" t="n">
        <v>5</v>
      </c>
      <c r="J226" s="11" t="s">
        <v>432</v>
      </c>
      <c r="O226" s="69" t="str">
        <f aca="false">IF(AND(LEN(TRIM($B226&amp;""))&gt;0,LEN(TRIM($P226&amp;""))=0),"PASS","FAIL — "&amp;IF(LEN(TRIM($P226&amp;""))&gt;0,TRIM($P226&amp;""),"line ≠ qty×unit, a required cell empty, or qty/£ non-positive"))</f>
        <v>PASS</v>
      </c>
      <c r="P226" s="70"/>
      <c r="Q226" s="16" t="str">
        <f aca="false">IF(AND(LEN(TRIM(B226&amp;""))&gt;0,TRIM(B226&amp;"")&lt;&gt;"—",LEN(TRIM(C226&amp;""))&gt;0,TRIM(C226&amp;"")&lt;&gt;"—",ISNUMBER(C226),LEN(TRIM(F226&amp;""))&gt;0,TRIM(F226&amp;"")&lt;&gt;"—",LEN(TRIM(I226&amp;""))&gt;0,TRIM(I226&amp;"")&lt;&gt;"—",LEN(TRIM(J226&amp;""))&gt;0,TRIM(J226&amp;"")&lt;&gt;"—",LEN(TRIM(O226&amp;""))&gt;0,TRIM(O226&amp;"")&lt;&gt;"—"),"PASS","⚠ FAIL — "&amp;"a required cell is empty/placeholder or wrong type")</f>
        <v>PASS</v>
      </c>
    </row>
    <row r="227" customFormat="false" ht="15" hidden="true" customHeight="false" outlineLevel="1" collapsed="false">
      <c r="A227" s="11" t="s">
        <v>801</v>
      </c>
      <c r="B227" s="68" t="s">
        <v>499</v>
      </c>
      <c r="C227" s="28" t="n">
        <v>1</v>
      </c>
      <c r="D227" s="11" t="s">
        <v>479</v>
      </c>
      <c r="E227" s="11" t="s">
        <v>480</v>
      </c>
      <c r="F227" s="11" t="s">
        <v>436</v>
      </c>
      <c r="G227" s="15" t="s">
        <v>481</v>
      </c>
      <c r="H227" s="15"/>
      <c r="I227" s="11" t="n">
        <v>5</v>
      </c>
      <c r="J227" s="11" t="s">
        <v>432</v>
      </c>
      <c r="O227" s="69" t="str">
        <f aca="false">IF(AND(LEN(TRIM($B227&amp;""))&gt;0,LEN(TRIM($P227&amp;""))=0),"PASS","FAIL — "&amp;IF(LEN(TRIM($P227&amp;""))&gt;0,TRIM($P227&amp;""),"line ≠ qty×unit, a required cell empty, or qty/£ non-positive"))</f>
        <v>PASS</v>
      </c>
      <c r="P227" s="70"/>
      <c r="Q227" s="16" t="str">
        <f aca="false">IF(AND(LEN(TRIM(B227&amp;""))&gt;0,TRIM(B227&amp;"")&lt;&gt;"—",LEN(TRIM(C227&amp;""))&gt;0,TRIM(C227&amp;"")&lt;&gt;"—",ISNUMBER(C227),LEN(TRIM(F227&amp;""))&gt;0,TRIM(F227&amp;"")&lt;&gt;"—",LEN(TRIM(I227&amp;""))&gt;0,TRIM(I227&amp;"")&lt;&gt;"—",LEN(TRIM(J227&amp;""))&gt;0,TRIM(J227&amp;"")&lt;&gt;"—",LEN(TRIM(O227&amp;""))&gt;0,TRIM(O227&amp;"")&lt;&gt;"—"),"PASS","⚠ FAIL — "&amp;"a required cell is empty/placeholder or wrong type")</f>
        <v>PASS</v>
      </c>
    </row>
    <row r="228" customFormat="false" ht="32.8" hidden="false" customHeight="false" outlineLevel="0" collapsed="false">
      <c r="A228" s="11" t="str">
        <f aca="false">'Part names'!$A$17</f>
        <v>X-114</v>
      </c>
      <c r="B228" s="68" t="str">
        <f aca="false">'Part names'!$B$17</f>
        <v>Compartment Spacers</v>
      </c>
      <c r="C228" s="28" t="n">
        <v>1</v>
      </c>
      <c r="D228" s="36" t="n">
        <v>3</v>
      </c>
      <c r="E228" s="36" t="n">
        <v>3</v>
      </c>
      <c r="F228" s="11" t="s">
        <v>429</v>
      </c>
      <c r="G228" s="15" t="s">
        <v>469</v>
      </c>
      <c r="H228" s="15" t="s">
        <v>438</v>
      </c>
      <c r="I228" s="11" t="n">
        <v>4</v>
      </c>
      <c r="J228" s="11" t="s">
        <v>453</v>
      </c>
      <c r="K228" s="15" t="s">
        <v>802</v>
      </c>
      <c r="L228" s="15" t="s">
        <v>425</v>
      </c>
      <c r="M228" s="15" t="s">
        <v>803</v>
      </c>
      <c r="N228" s="15" t="s">
        <v>441</v>
      </c>
      <c r="O228" s="69" t="str">
        <f aca="false">IF(AND(LEN(TRIM($B228&amp;""))&gt;0,ISNUMBER($C228),$C228&gt;0,ISNUMBER($D228),$D228&gt;0,ISNUMBER($E228),$E228&gt;0,ABS($E228-$C228*$D228)&lt;=MAX(1,0.005*ABS($E228)),LEN(TRIM($M228&amp;""))&gt;0,TRIM($M228&amp;"")&lt;&gt;"—",LEN(TRIM($P228&amp;""))=0),"PASS","FAIL — "&amp;IF(LEN(TRIM($P228&amp;""))&gt;0,TRIM($P228&amp;""),"line ≠ qty×unit, a required cell empty, or qty/£ non-positive"))</f>
        <v>PASS</v>
      </c>
      <c r="P228" s="70"/>
      <c r="Q228" s="16" t="str">
        <f aca="false">IF(AND(LEN(TRIM(A228&amp;""))&gt;0,TRIM(A228&amp;"")&lt;&gt;"—",LEN(TRIM(B228&amp;""))&gt;0,TRIM(B228&amp;"")&lt;&gt;"—",LEN(TRIM(C228&amp;""))&gt;0,TRIM(C228&amp;"")&lt;&gt;"—",ISNUMBER(C228),LEN(TRIM(D228&amp;""))&gt;0,TRIM(D228&amp;"")&lt;&gt;"—",ISNUMBER(D228),LEN(TRIM(E228&amp;""))&gt;0,TRIM(E228&amp;"")&lt;&gt;"—",ISNUMBER(E228),LEN(TRIM(F228&amp;""))&gt;0,TRIM(F228&amp;"")&lt;&gt;"—",LEN(TRIM(I228&amp;""))&gt;0,TRIM(I228&amp;"")&lt;&gt;"—",LEN(TRIM(J228&amp;""))&gt;0,TRIM(J228&amp;"")&lt;&gt;"—",LEN(TRIM(O228&amp;""))&gt;0,TRIM(O228&amp;"")&lt;&gt;"—"),"PASS","⚠ FAIL — "&amp;"a required cell is empty/placeholder or wrong type")</f>
        <v>PASS</v>
      </c>
    </row>
    <row r="229" customFormat="false" ht="43.25" hidden="false" customHeight="false" outlineLevel="0" collapsed="true">
      <c r="A229" s="11" t="str">
        <f aca="false">'Part names'!$A$95</f>
        <v>F-2</v>
      </c>
      <c r="B229" s="68" t="str">
        <f aca="false">'Part names'!$B$95 &amp; "  · 364 m² area"</f>
        <v>Uf Membrane Bank  · 364 m² area</v>
      </c>
      <c r="C229" s="28" t="n">
        <v>1</v>
      </c>
      <c r="D229" s="36" t="n">
        <v>9100</v>
      </c>
      <c r="E229" s="36" t="n">
        <v>9100</v>
      </c>
      <c r="F229" s="11" t="s">
        <v>429</v>
      </c>
      <c r="G229" s="15" t="s">
        <v>471</v>
      </c>
      <c r="H229" s="15" t="s">
        <v>472</v>
      </c>
      <c r="I229" s="11" t="n">
        <v>4</v>
      </c>
      <c r="J229" s="11" t="s">
        <v>432</v>
      </c>
      <c r="K229" s="15" t="s">
        <v>804</v>
      </c>
      <c r="L229" s="68" t="s">
        <v>474</v>
      </c>
      <c r="M229" s="15" t="s">
        <v>805</v>
      </c>
      <c r="N229" s="68" t="s">
        <v>476</v>
      </c>
      <c r="O229" s="69" t="str">
        <f aca="false">IF(AND(LEN(TRIM($B229&amp;""))&gt;0,ISNUMBER($C229),$C229&gt;0,ISNUMBER($D229),$D229&gt;0,ISNUMBER($E229),$E229&gt;0,ABS($E229-$C229*$D229)&lt;=MAX(1,0.005*ABS($E229)),LEN(TRIM($M229&amp;""))&gt;0,TRIM($M229&amp;"")&lt;&gt;"—",LEN(TRIM($P229&amp;""))=0),"PASS","FAIL — "&amp;IF(LEN(TRIM($P229&amp;""))&gt;0,TRIM($P229&amp;""),"line ≠ qty×unit, a required cell empty, or qty/£ non-positive"))</f>
        <v>PASS</v>
      </c>
      <c r="P229" s="70"/>
      <c r="Q229" s="16" t="str">
        <f aca="false">IF(AND(LEN(TRIM(A229&amp;""))&gt;0,TRIM(A229&amp;"")&lt;&gt;"—",LEN(TRIM(B229&amp;""))&gt;0,TRIM(B229&amp;"")&lt;&gt;"—",LEN(TRIM(C229&amp;""))&gt;0,TRIM(C229&amp;"")&lt;&gt;"—",ISNUMBER(C229),LEN(TRIM(D229&amp;""))&gt;0,TRIM(D229&amp;"")&lt;&gt;"—",ISNUMBER(D229),LEN(TRIM(E229&amp;""))&gt;0,TRIM(E229&amp;"")&lt;&gt;"—",ISNUMBER(E229),LEN(TRIM(F229&amp;""))&gt;0,TRIM(F229&amp;"")&lt;&gt;"—",LEN(TRIM(I229&amp;""))&gt;0,TRIM(I229&amp;"")&lt;&gt;"—",LEN(TRIM(J229&amp;""))&gt;0,TRIM(J229&amp;"")&lt;&gt;"—",LEN(TRIM(O229&amp;""))&gt;0,TRIM(O229&amp;"")&lt;&gt;"—"),"PASS","⚠ FAIL — "&amp;"a required cell is empty/placeholder or wrong type")</f>
        <v>PASS</v>
      </c>
    </row>
    <row r="230" customFormat="false" ht="15" hidden="true" customHeight="false" outlineLevel="1" collapsed="false">
      <c r="A230" s="11" t="s">
        <v>477</v>
      </c>
      <c r="B230" s="68" t="s">
        <v>478</v>
      </c>
      <c r="C230" s="28" t="n">
        <v>1</v>
      </c>
      <c r="D230" s="11" t="s">
        <v>479</v>
      </c>
      <c r="E230" s="11" t="s">
        <v>480</v>
      </c>
      <c r="F230" s="11" t="s">
        <v>429</v>
      </c>
      <c r="G230" s="15" t="s">
        <v>481</v>
      </c>
      <c r="H230" s="15"/>
      <c r="I230" s="11" t="n">
        <v>4</v>
      </c>
      <c r="J230" s="11" t="s">
        <v>432</v>
      </c>
      <c r="O230" s="69" t="str">
        <f aca="false">IF(AND(LEN(TRIM($B230&amp;""))&gt;0,LEN(TRIM($P230&amp;""))=0),"PASS","FAIL — "&amp;IF(LEN(TRIM($P230&amp;""))&gt;0,TRIM($P230&amp;""),"line ≠ qty×unit, a required cell empty, or qty/£ non-positive"))</f>
        <v>PASS</v>
      </c>
      <c r="P230" s="70"/>
      <c r="Q230" s="16" t="str">
        <f aca="false">IF(AND(LEN(TRIM(B230&amp;""))&gt;0,TRIM(B230&amp;"")&lt;&gt;"—",LEN(TRIM(C230&amp;""))&gt;0,TRIM(C230&amp;"")&lt;&gt;"—",ISNUMBER(C230),LEN(TRIM(F230&amp;""))&gt;0,TRIM(F230&amp;"")&lt;&gt;"—",LEN(TRIM(I230&amp;""))&gt;0,TRIM(I230&amp;"")&lt;&gt;"—",LEN(TRIM(J230&amp;""))&gt;0,TRIM(J230&amp;"")&lt;&gt;"—",LEN(TRIM(O230&amp;""))&gt;0,TRIM(O230&amp;"")&lt;&gt;"—"),"PASS","⚠ FAIL — "&amp;"a required cell is empty/placeholder or wrong type")</f>
        <v>PASS</v>
      </c>
    </row>
    <row r="231" customFormat="false" ht="15" hidden="true" customHeight="false" outlineLevel="1" collapsed="false">
      <c r="A231" s="11" t="s">
        <v>482</v>
      </c>
      <c r="B231" s="68" t="s">
        <v>483</v>
      </c>
      <c r="C231" s="28" t="n">
        <v>1</v>
      </c>
      <c r="D231" s="11" t="s">
        <v>479</v>
      </c>
      <c r="E231" s="11" t="s">
        <v>480</v>
      </c>
      <c r="F231" s="11" t="s">
        <v>436</v>
      </c>
      <c r="G231" s="15" t="s">
        <v>481</v>
      </c>
      <c r="H231" s="15"/>
      <c r="I231" s="11" t="n">
        <v>5</v>
      </c>
      <c r="J231" s="11" t="s">
        <v>432</v>
      </c>
      <c r="O231" s="69" t="str">
        <f aca="false">IF(AND(LEN(TRIM($B231&amp;""))&gt;0,LEN(TRIM($P231&amp;""))=0),"PASS","FAIL — "&amp;IF(LEN(TRIM($P231&amp;""))&gt;0,TRIM($P231&amp;""),"line ≠ qty×unit, a required cell empty, or qty/£ non-positive"))</f>
        <v>PASS</v>
      </c>
      <c r="P231" s="70"/>
      <c r="Q231" s="16" t="str">
        <f aca="false">IF(AND(LEN(TRIM(B231&amp;""))&gt;0,TRIM(B231&amp;"")&lt;&gt;"—",LEN(TRIM(C231&amp;""))&gt;0,TRIM(C231&amp;"")&lt;&gt;"—",ISNUMBER(C231),LEN(TRIM(F231&amp;""))&gt;0,TRIM(F231&amp;"")&lt;&gt;"—",LEN(TRIM(I231&amp;""))&gt;0,TRIM(I231&amp;"")&lt;&gt;"—",LEN(TRIM(J231&amp;""))&gt;0,TRIM(J231&amp;"")&lt;&gt;"—",LEN(TRIM(O231&amp;""))&gt;0,TRIM(O231&amp;"")&lt;&gt;"—"),"PASS","⚠ FAIL — "&amp;"a required cell is empty/placeholder or wrong type")</f>
        <v>PASS</v>
      </c>
    </row>
    <row r="232" customFormat="false" ht="15" hidden="true" customHeight="false" outlineLevel="1" collapsed="false">
      <c r="A232" s="11" t="s">
        <v>484</v>
      </c>
      <c r="B232" s="68" t="s">
        <v>485</v>
      </c>
      <c r="C232" s="28" t="n">
        <v>1</v>
      </c>
      <c r="D232" s="11" t="s">
        <v>479</v>
      </c>
      <c r="E232" s="11" t="s">
        <v>480</v>
      </c>
      <c r="F232" s="11" t="s">
        <v>436</v>
      </c>
      <c r="G232" s="15" t="s">
        <v>481</v>
      </c>
      <c r="H232" s="15"/>
      <c r="I232" s="11" t="n">
        <v>5</v>
      </c>
      <c r="J232" s="11" t="s">
        <v>432</v>
      </c>
      <c r="O232" s="69" t="str">
        <f aca="false">IF(AND(LEN(TRIM($B232&amp;""))&gt;0,LEN(TRIM($P232&amp;""))=0),"PASS","FAIL — "&amp;IF(LEN(TRIM($P232&amp;""))&gt;0,TRIM($P232&amp;""),"line ≠ qty×unit, a required cell empty, or qty/£ non-positive"))</f>
        <v>PASS</v>
      </c>
      <c r="P232" s="70"/>
      <c r="Q232" s="16" t="str">
        <f aca="false">IF(AND(LEN(TRIM(B232&amp;""))&gt;0,TRIM(B232&amp;"")&lt;&gt;"—",LEN(TRIM(C232&amp;""))&gt;0,TRIM(C232&amp;"")&lt;&gt;"—",ISNUMBER(C232),LEN(TRIM(F232&amp;""))&gt;0,TRIM(F232&amp;"")&lt;&gt;"—",LEN(TRIM(I232&amp;""))&gt;0,TRIM(I232&amp;"")&lt;&gt;"—",LEN(TRIM(J232&amp;""))&gt;0,TRIM(J232&amp;"")&lt;&gt;"—",LEN(TRIM(O232&amp;""))&gt;0,TRIM(O232&amp;"")&lt;&gt;"—"),"PASS","⚠ FAIL — "&amp;"a required cell is empty/placeholder or wrong type")</f>
        <v>PASS</v>
      </c>
    </row>
    <row r="233" customFormat="false" ht="15" hidden="true" customHeight="false" outlineLevel="1" collapsed="false">
      <c r="A233" s="11" t="s">
        <v>486</v>
      </c>
      <c r="B233" s="68" t="s">
        <v>487</v>
      </c>
      <c r="C233" s="28" t="n">
        <v>1</v>
      </c>
      <c r="D233" s="11" t="s">
        <v>479</v>
      </c>
      <c r="E233" s="11" t="s">
        <v>480</v>
      </c>
      <c r="F233" s="11" t="s">
        <v>436</v>
      </c>
      <c r="G233" s="15" t="s">
        <v>481</v>
      </c>
      <c r="H233" s="15"/>
      <c r="I233" s="11" t="n">
        <v>5</v>
      </c>
      <c r="J233" s="11" t="s">
        <v>432</v>
      </c>
      <c r="O233" s="69" t="str">
        <f aca="false">IF(AND(LEN(TRIM($B233&amp;""))&gt;0,LEN(TRIM($P233&amp;""))=0),"PASS","FAIL — "&amp;IF(LEN(TRIM($P233&amp;""))&gt;0,TRIM($P233&amp;""),"line ≠ qty×unit, a required cell empty, or qty/£ non-positive"))</f>
        <v>PASS</v>
      </c>
      <c r="P233" s="70"/>
      <c r="Q233" s="16" t="str">
        <f aca="false">IF(AND(LEN(TRIM(B233&amp;""))&gt;0,TRIM(B233&amp;"")&lt;&gt;"—",LEN(TRIM(C233&amp;""))&gt;0,TRIM(C233&amp;"")&lt;&gt;"—",ISNUMBER(C233),LEN(TRIM(F233&amp;""))&gt;0,TRIM(F233&amp;"")&lt;&gt;"—",LEN(TRIM(I233&amp;""))&gt;0,TRIM(I233&amp;"")&lt;&gt;"—",LEN(TRIM(J233&amp;""))&gt;0,TRIM(J233&amp;"")&lt;&gt;"—",LEN(TRIM(O233&amp;""))&gt;0,TRIM(O233&amp;"")&lt;&gt;"—"),"PASS","⚠ FAIL — "&amp;"a required cell is empty/placeholder or wrong type")</f>
        <v>PASS</v>
      </c>
    </row>
    <row r="234" customFormat="false" ht="15" hidden="true" customHeight="false" outlineLevel="1" collapsed="false">
      <c r="A234" s="11" t="s">
        <v>488</v>
      </c>
      <c r="B234" s="68" t="s">
        <v>489</v>
      </c>
      <c r="C234" s="28" t="n">
        <v>1</v>
      </c>
      <c r="D234" s="11" t="s">
        <v>479</v>
      </c>
      <c r="E234" s="11" t="s">
        <v>480</v>
      </c>
      <c r="F234" s="11" t="s">
        <v>429</v>
      </c>
      <c r="G234" s="15" t="s">
        <v>481</v>
      </c>
      <c r="H234" s="15"/>
      <c r="I234" s="11" t="n">
        <v>4</v>
      </c>
      <c r="J234" s="11" t="s">
        <v>432</v>
      </c>
      <c r="O234" s="69" t="str">
        <f aca="false">IF(AND(LEN(TRIM($B234&amp;""))&gt;0,LEN(TRIM($P234&amp;""))=0),"PASS","FAIL — "&amp;IF(LEN(TRIM($P234&amp;""))&gt;0,TRIM($P234&amp;""),"line ≠ qty×unit, a required cell empty, or qty/£ non-positive"))</f>
        <v>PASS</v>
      </c>
      <c r="P234" s="70"/>
      <c r="Q234" s="16" t="str">
        <f aca="false">IF(AND(LEN(TRIM(B234&amp;""))&gt;0,TRIM(B234&amp;"")&lt;&gt;"—",LEN(TRIM(C234&amp;""))&gt;0,TRIM(C234&amp;"")&lt;&gt;"—",ISNUMBER(C234),LEN(TRIM(F234&amp;""))&gt;0,TRIM(F234&amp;"")&lt;&gt;"—",LEN(TRIM(I234&amp;""))&gt;0,TRIM(I234&amp;"")&lt;&gt;"—",LEN(TRIM(J234&amp;""))&gt;0,TRIM(J234&amp;"")&lt;&gt;"—",LEN(TRIM(O234&amp;""))&gt;0,TRIM(O234&amp;"")&lt;&gt;"—"),"PASS","⚠ FAIL — "&amp;"a required cell is empty/placeholder or wrong type")</f>
        <v>PASS</v>
      </c>
    </row>
    <row r="235" customFormat="false" ht="15" hidden="true" customHeight="false" outlineLevel="1" collapsed="false">
      <c r="A235" s="11" t="s">
        <v>490</v>
      </c>
      <c r="B235" s="68" t="s">
        <v>491</v>
      </c>
      <c r="C235" s="28" t="n">
        <v>1</v>
      </c>
      <c r="D235" s="11" t="s">
        <v>479</v>
      </c>
      <c r="E235" s="11" t="s">
        <v>480</v>
      </c>
      <c r="F235" s="11" t="s">
        <v>436</v>
      </c>
      <c r="G235" s="15" t="s">
        <v>481</v>
      </c>
      <c r="H235" s="15"/>
      <c r="I235" s="11" t="n">
        <v>5</v>
      </c>
      <c r="J235" s="11" t="s">
        <v>432</v>
      </c>
      <c r="O235" s="69" t="str">
        <f aca="false">IF(AND(LEN(TRIM($B235&amp;""))&gt;0,LEN(TRIM($P235&amp;""))=0),"PASS","FAIL — "&amp;IF(LEN(TRIM($P235&amp;""))&gt;0,TRIM($P235&amp;""),"line ≠ qty×unit, a required cell empty, or qty/£ non-positive"))</f>
        <v>PASS</v>
      </c>
      <c r="P235" s="70"/>
      <c r="Q235" s="16" t="str">
        <f aca="false">IF(AND(LEN(TRIM(B235&amp;""))&gt;0,TRIM(B235&amp;"")&lt;&gt;"—",LEN(TRIM(C235&amp;""))&gt;0,TRIM(C235&amp;"")&lt;&gt;"—",ISNUMBER(C235),LEN(TRIM(F235&amp;""))&gt;0,TRIM(F235&amp;"")&lt;&gt;"—",LEN(TRIM(I235&amp;""))&gt;0,TRIM(I235&amp;"")&lt;&gt;"—",LEN(TRIM(J235&amp;""))&gt;0,TRIM(J235&amp;"")&lt;&gt;"—",LEN(TRIM(O235&amp;""))&gt;0,TRIM(O235&amp;"")&lt;&gt;"—"),"PASS","⚠ FAIL — "&amp;"a required cell is empty/placeholder or wrong type")</f>
        <v>PASS</v>
      </c>
    </row>
    <row r="236" customFormat="false" ht="15" hidden="true" customHeight="false" outlineLevel="1" collapsed="false">
      <c r="A236" s="11" t="s">
        <v>492</v>
      </c>
      <c r="B236" s="68" t="s">
        <v>493</v>
      </c>
      <c r="C236" s="28" t="n">
        <v>1</v>
      </c>
      <c r="D236" s="11" t="s">
        <v>479</v>
      </c>
      <c r="E236" s="11" t="s">
        <v>480</v>
      </c>
      <c r="F236" s="11" t="s">
        <v>436</v>
      </c>
      <c r="G236" s="15" t="s">
        <v>481</v>
      </c>
      <c r="H236" s="15"/>
      <c r="I236" s="11" t="n">
        <v>5</v>
      </c>
      <c r="J236" s="11" t="s">
        <v>432</v>
      </c>
      <c r="O236" s="69" t="str">
        <f aca="false">IF(AND(LEN(TRIM($B236&amp;""))&gt;0,LEN(TRIM($P236&amp;""))=0),"PASS","FAIL — "&amp;IF(LEN(TRIM($P236&amp;""))&gt;0,TRIM($P236&amp;""),"line ≠ qty×unit, a required cell empty, or qty/£ non-positive"))</f>
        <v>PASS</v>
      </c>
      <c r="P236" s="70"/>
      <c r="Q236" s="16" t="str">
        <f aca="false">IF(AND(LEN(TRIM(B236&amp;""))&gt;0,TRIM(B236&amp;"")&lt;&gt;"—",LEN(TRIM(C236&amp;""))&gt;0,TRIM(C236&amp;"")&lt;&gt;"—",ISNUMBER(C236),LEN(TRIM(F236&amp;""))&gt;0,TRIM(F236&amp;"")&lt;&gt;"—",LEN(TRIM(I236&amp;""))&gt;0,TRIM(I236&amp;"")&lt;&gt;"—",LEN(TRIM(J236&amp;""))&gt;0,TRIM(J236&amp;"")&lt;&gt;"—",LEN(TRIM(O236&amp;""))&gt;0,TRIM(O236&amp;"")&lt;&gt;"—"),"PASS","⚠ FAIL — "&amp;"a required cell is empty/placeholder or wrong type")</f>
        <v>PASS</v>
      </c>
    </row>
    <row r="237" customFormat="false" ht="15" hidden="true" customHeight="false" outlineLevel="1" collapsed="false">
      <c r="A237" s="11" t="s">
        <v>494</v>
      </c>
      <c r="B237" s="68" t="s">
        <v>495</v>
      </c>
      <c r="C237" s="28" t="n">
        <v>1</v>
      </c>
      <c r="D237" s="11" t="s">
        <v>479</v>
      </c>
      <c r="E237" s="11" t="s">
        <v>480</v>
      </c>
      <c r="F237" s="11" t="s">
        <v>429</v>
      </c>
      <c r="G237" s="15" t="s">
        <v>481</v>
      </c>
      <c r="H237" s="15"/>
      <c r="I237" s="11" t="n">
        <v>4</v>
      </c>
      <c r="J237" s="11" t="s">
        <v>432</v>
      </c>
      <c r="O237" s="69" t="str">
        <f aca="false">IF(AND(LEN(TRIM($B237&amp;""))&gt;0,LEN(TRIM($P237&amp;""))=0),"PASS","FAIL — "&amp;IF(LEN(TRIM($P237&amp;""))&gt;0,TRIM($P237&amp;""),"line ≠ qty×unit, a required cell empty, or qty/£ non-positive"))</f>
        <v>PASS</v>
      </c>
      <c r="P237" s="70"/>
      <c r="Q237" s="16" t="str">
        <f aca="false">IF(AND(LEN(TRIM(B237&amp;""))&gt;0,TRIM(B237&amp;"")&lt;&gt;"—",LEN(TRIM(C237&amp;""))&gt;0,TRIM(C237&amp;"")&lt;&gt;"—",ISNUMBER(C237),LEN(TRIM(F237&amp;""))&gt;0,TRIM(F237&amp;"")&lt;&gt;"—",LEN(TRIM(I237&amp;""))&gt;0,TRIM(I237&amp;"")&lt;&gt;"—",LEN(TRIM(J237&amp;""))&gt;0,TRIM(J237&amp;"")&lt;&gt;"—",LEN(TRIM(O237&amp;""))&gt;0,TRIM(O237&amp;"")&lt;&gt;"—"),"PASS","⚠ FAIL — "&amp;"a required cell is empty/placeholder or wrong type")</f>
        <v>PASS</v>
      </c>
    </row>
    <row r="238" customFormat="false" ht="15" hidden="true" customHeight="false" outlineLevel="1" collapsed="false">
      <c r="A238" s="11" t="s">
        <v>496</v>
      </c>
      <c r="B238" s="68" t="s">
        <v>497</v>
      </c>
      <c r="C238" s="28" t="n">
        <v>1</v>
      </c>
      <c r="D238" s="11" t="s">
        <v>479</v>
      </c>
      <c r="E238" s="11" t="s">
        <v>480</v>
      </c>
      <c r="F238" s="11" t="s">
        <v>429</v>
      </c>
      <c r="G238" s="15" t="s">
        <v>481</v>
      </c>
      <c r="H238" s="15"/>
      <c r="I238" s="11" t="n">
        <v>4</v>
      </c>
      <c r="J238" s="11" t="s">
        <v>432</v>
      </c>
      <c r="O238" s="69" t="str">
        <f aca="false">IF(AND(LEN(TRIM($B238&amp;""))&gt;0,LEN(TRIM($P238&amp;""))=0),"PASS","FAIL — "&amp;IF(LEN(TRIM($P238&amp;""))&gt;0,TRIM($P238&amp;""),"line ≠ qty×unit, a required cell empty, or qty/£ non-positive"))</f>
        <v>PASS</v>
      </c>
      <c r="P238" s="70"/>
      <c r="Q238" s="16" t="str">
        <f aca="false">IF(AND(LEN(TRIM(B238&amp;""))&gt;0,TRIM(B238&amp;"")&lt;&gt;"—",LEN(TRIM(C238&amp;""))&gt;0,TRIM(C238&amp;"")&lt;&gt;"—",ISNUMBER(C238),LEN(TRIM(F238&amp;""))&gt;0,TRIM(F238&amp;"")&lt;&gt;"—",LEN(TRIM(I238&amp;""))&gt;0,TRIM(I238&amp;"")&lt;&gt;"—",LEN(TRIM(J238&amp;""))&gt;0,TRIM(J238&amp;"")&lt;&gt;"—",LEN(TRIM(O238&amp;""))&gt;0,TRIM(O238&amp;"")&lt;&gt;"—"),"PASS","⚠ FAIL — "&amp;"a required cell is empty/placeholder or wrong type")</f>
        <v>PASS</v>
      </c>
    </row>
    <row r="239" customFormat="false" ht="15" hidden="true" customHeight="false" outlineLevel="1" collapsed="false">
      <c r="A239" s="11" t="s">
        <v>498</v>
      </c>
      <c r="B239" s="68" t="s">
        <v>499</v>
      </c>
      <c r="C239" s="28" t="n">
        <v>1</v>
      </c>
      <c r="D239" s="11" t="s">
        <v>479</v>
      </c>
      <c r="E239" s="11" t="s">
        <v>480</v>
      </c>
      <c r="F239" s="11" t="s">
        <v>436</v>
      </c>
      <c r="G239" s="15" t="s">
        <v>481</v>
      </c>
      <c r="H239" s="15"/>
      <c r="I239" s="11" t="n">
        <v>5</v>
      </c>
      <c r="J239" s="11" t="s">
        <v>432</v>
      </c>
      <c r="O239" s="69" t="str">
        <f aca="false">IF(AND(LEN(TRIM($B239&amp;""))&gt;0,LEN(TRIM($P239&amp;""))=0),"PASS","FAIL — "&amp;IF(LEN(TRIM($P239&amp;""))&gt;0,TRIM($P239&amp;""),"line ≠ qty×unit, a required cell empty, or qty/£ non-positive"))</f>
        <v>PASS</v>
      </c>
      <c r="P239" s="70"/>
      <c r="Q239" s="16" t="str">
        <f aca="false">IF(AND(LEN(TRIM(B239&amp;""))&gt;0,TRIM(B239&amp;"")&lt;&gt;"—",LEN(TRIM(C239&amp;""))&gt;0,TRIM(C239&amp;"")&lt;&gt;"—",ISNUMBER(C239),LEN(TRIM(F239&amp;""))&gt;0,TRIM(F239&amp;"")&lt;&gt;"—",LEN(TRIM(I239&amp;""))&gt;0,TRIM(I239&amp;"")&lt;&gt;"—",LEN(TRIM(J239&amp;""))&gt;0,TRIM(J239&amp;"")&lt;&gt;"—",LEN(TRIM(O239&amp;""))&gt;0,TRIM(O239&amp;"")&lt;&gt;"—"),"PASS","⚠ FAIL — "&amp;"a required cell is empty/placeholder or wrong type")</f>
        <v>PASS</v>
      </c>
    </row>
    <row r="240" customFormat="false" ht="26.85" hidden="false" customHeight="false" outlineLevel="0" collapsed="true">
      <c r="A240" s="11" t="str">
        <f aca="false">'Part names'!$A$96</f>
        <v>Z-102</v>
      </c>
      <c r="B240" s="68" t="str">
        <f aca="false">'Part names'!$B$96</f>
        <v>Uf Module Bank</v>
      </c>
      <c r="C240" s="28" t="n">
        <v>1</v>
      </c>
      <c r="D240" s="36" t="n">
        <v>14825</v>
      </c>
      <c r="E240" s="36" t="n">
        <v>0</v>
      </c>
      <c r="F240" s="11" t="s">
        <v>429</v>
      </c>
      <c r="G240" s="15"/>
      <c r="H240" s="15" t="s">
        <v>806</v>
      </c>
      <c r="I240" s="11" t="n">
        <v>4</v>
      </c>
      <c r="J240" s="11" t="s">
        <v>453</v>
      </c>
      <c r="O240" s="69" t="str">
        <f aca="false">IF(AND(LEN(TRIM($B240&amp;""))&gt;0,ISNUMBER($C240),$C240&gt;0,ISNUMBER($D240),$D240&gt;0,ISNUMBER($E240),$E240&gt;0,LEN(TRIM($P240&amp;""))=0),"PASS","FAIL — "&amp;IF(LEN(TRIM($P240&amp;""))&gt;0,TRIM($P240&amp;""),"line ≠ qty×unit, a required cell empty, or qty/£ non-positive"))</f>
        <v>FAIL — line ≠ qty×unit, a required cell empty, or qty/£ non-positive</v>
      </c>
      <c r="P240" s="70"/>
      <c r="Q240" s="16" t="str">
        <f aca="false">IF(AND(LEN(TRIM(A240&amp;""))&gt;0,TRIM(A240&amp;"")&lt;&gt;"—",LEN(TRIM(B240&amp;""))&gt;0,TRIM(B240&amp;"")&lt;&gt;"—",LEN(TRIM(C240&amp;""))&gt;0,TRIM(C240&amp;"")&lt;&gt;"—",ISNUMBER(C240),LEN(TRIM(D240&amp;""))&gt;0,TRIM(D240&amp;"")&lt;&gt;"—",ISNUMBER(D240),LEN(TRIM(E240&amp;""))&gt;0,TRIM(E240&amp;"")&lt;&gt;"—",ISNUMBER(E240),LEN(TRIM(F240&amp;""))&gt;0,TRIM(F240&amp;"")&lt;&gt;"—",LEN(TRIM(I240&amp;""))&gt;0,TRIM(I240&amp;"")&lt;&gt;"—",LEN(TRIM(J240&amp;""))&gt;0,TRIM(J240&amp;"")&lt;&gt;"—",LEN(TRIM(O240&amp;""))&gt;0,TRIM(O240&amp;"")&lt;&gt;"—"),"PASS","⚠ FAIL — "&amp;"a required cell is empty/placeholder or wrong type")</f>
        <v>PASS</v>
      </c>
    </row>
    <row r="241" customFormat="false" ht="15" hidden="true" customHeight="false" outlineLevel="1" collapsed="false">
      <c r="A241" s="11" t="s">
        <v>807</v>
      </c>
      <c r="B241" s="68" t="s">
        <v>478</v>
      </c>
      <c r="C241" s="28" t="n">
        <v>1</v>
      </c>
      <c r="D241" s="11" t="s">
        <v>479</v>
      </c>
      <c r="E241" s="11" t="s">
        <v>480</v>
      </c>
      <c r="F241" s="11" t="s">
        <v>429</v>
      </c>
      <c r="G241" s="15" t="s">
        <v>481</v>
      </c>
      <c r="H241" s="15"/>
      <c r="I241" s="11" t="n">
        <v>4</v>
      </c>
      <c r="J241" s="11" t="s">
        <v>432</v>
      </c>
      <c r="O241" s="69" t="str">
        <f aca="false">IF(AND(LEN(TRIM($B241&amp;""))&gt;0,LEN(TRIM($P241&amp;""))=0),"PASS","FAIL — "&amp;IF(LEN(TRIM($P241&amp;""))&gt;0,TRIM($P241&amp;""),"line ≠ qty×unit, a required cell empty, or qty/£ non-positive"))</f>
        <v>PASS</v>
      </c>
      <c r="P241" s="70"/>
      <c r="Q241" s="16" t="str">
        <f aca="false">IF(AND(LEN(TRIM(B241&amp;""))&gt;0,TRIM(B241&amp;"")&lt;&gt;"—",LEN(TRIM(C241&amp;""))&gt;0,TRIM(C241&amp;"")&lt;&gt;"—",ISNUMBER(C241),LEN(TRIM(F241&amp;""))&gt;0,TRIM(F241&amp;"")&lt;&gt;"—",LEN(TRIM(I241&amp;""))&gt;0,TRIM(I241&amp;"")&lt;&gt;"—",LEN(TRIM(J241&amp;""))&gt;0,TRIM(J241&amp;"")&lt;&gt;"—",LEN(TRIM(O241&amp;""))&gt;0,TRIM(O241&amp;"")&lt;&gt;"—"),"PASS","⚠ FAIL — "&amp;"a required cell is empty/placeholder or wrong type")</f>
        <v>PASS</v>
      </c>
    </row>
    <row r="242" customFormat="false" ht="15" hidden="true" customHeight="false" outlineLevel="1" collapsed="false">
      <c r="A242" s="11" t="s">
        <v>808</v>
      </c>
      <c r="B242" s="68" t="s">
        <v>483</v>
      </c>
      <c r="C242" s="28" t="n">
        <v>1</v>
      </c>
      <c r="D242" s="11" t="s">
        <v>479</v>
      </c>
      <c r="E242" s="11" t="s">
        <v>480</v>
      </c>
      <c r="F242" s="11" t="s">
        <v>436</v>
      </c>
      <c r="G242" s="15" t="s">
        <v>481</v>
      </c>
      <c r="H242" s="15"/>
      <c r="I242" s="11" t="n">
        <v>5</v>
      </c>
      <c r="J242" s="11" t="s">
        <v>432</v>
      </c>
      <c r="O242" s="69" t="str">
        <f aca="false">IF(AND(LEN(TRIM($B242&amp;""))&gt;0,LEN(TRIM($P242&amp;""))=0),"PASS","FAIL — "&amp;IF(LEN(TRIM($P242&amp;""))&gt;0,TRIM($P242&amp;""),"line ≠ qty×unit, a required cell empty, or qty/£ non-positive"))</f>
        <v>PASS</v>
      </c>
      <c r="P242" s="70"/>
      <c r="Q242" s="16" t="str">
        <f aca="false">IF(AND(LEN(TRIM(B242&amp;""))&gt;0,TRIM(B242&amp;"")&lt;&gt;"—",LEN(TRIM(C242&amp;""))&gt;0,TRIM(C242&amp;"")&lt;&gt;"—",ISNUMBER(C242),LEN(TRIM(F242&amp;""))&gt;0,TRIM(F242&amp;"")&lt;&gt;"—",LEN(TRIM(I242&amp;""))&gt;0,TRIM(I242&amp;"")&lt;&gt;"—",LEN(TRIM(J242&amp;""))&gt;0,TRIM(J242&amp;"")&lt;&gt;"—",LEN(TRIM(O242&amp;""))&gt;0,TRIM(O242&amp;"")&lt;&gt;"—"),"PASS","⚠ FAIL — "&amp;"a required cell is empty/placeholder or wrong type")</f>
        <v>PASS</v>
      </c>
    </row>
    <row r="243" customFormat="false" ht="15" hidden="true" customHeight="false" outlineLevel="1" collapsed="false">
      <c r="A243" s="11" t="s">
        <v>809</v>
      </c>
      <c r="B243" s="68" t="s">
        <v>485</v>
      </c>
      <c r="C243" s="28" t="n">
        <v>1</v>
      </c>
      <c r="D243" s="11" t="s">
        <v>479</v>
      </c>
      <c r="E243" s="11" t="s">
        <v>480</v>
      </c>
      <c r="F243" s="11" t="s">
        <v>436</v>
      </c>
      <c r="G243" s="15" t="s">
        <v>481</v>
      </c>
      <c r="H243" s="15"/>
      <c r="I243" s="11" t="n">
        <v>5</v>
      </c>
      <c r="J243" s="11" t="s">
        <v>432</v>
      </c>
      <c r="O243" s="69" t="str">
        <f aca="false">IF(AND(LEN(TRIM($B243&amp;""))&gt;0,LEN(TRIM($P243&amp;""))=0),"PASS","FAIL — "&amp;IF(LEN(TRIM($P243&amp;""))&gt;0,TRIM($P243&amp;""),"line ≠ qty×unit, a required cell empty, or qty/£ non-positive"))</f>
        <v>PASS</v>
      </c>
      <c r="P243" s="70"/>
      <c r="Q243" s="16" t="str">
        <f aca="false">IF(AND(LEN(TRIM(B243&amp;""))&gt;0,TRIM(B243&amp;"")&lt;&gt;"—",LEN(TRIM(C243&amp;""))&gt;0,TRIM(C243&amp;"")&lt;&gt;"—",ISNUMBER(C243),LEN(TRIM(F243&amp;""))&gt;0,TRIM(F243&amp;"")&lt;&gt;"—",LEN(TRIM(I243&amp;""))&gt;0,TRIM(I243&amp;"")&lt;&gt;"—",LEN(TRIM(J243&amp;""))&gt;0,TRIM(J243&amp;"")&lt;&gt;"—",LEN(TRIM(O243&amp;""))&gt;0,TRIM(O243&amp;"")&lt;&gt;"—"),"PASS","⚠ FAIL — "&amp;"a required cell is empty/placeholder or wrong type")</f>
        <v>PASS</v>
      </c>
    </row>
    <row r="244" customFormat="false" ht="15" hidden="true" customHeight="false" outlineLevel="1" collapsed="false">
      <c r="A244" s="11" t="s">
        <v>810</v>
      </c>
      <c r="B244" s="68" t="s">
        <v>487</v>
      </c>
      <c r="C244" s="28" t="n">
        <v>1</v>
      </c>
      <c r="D244" s="11" t="s">
        <v>479</v>
      </c>
      <c r="E244" s="11" t="s">
        <v>480</v>
      </c>
      <c r="F244" s="11" t="s">
        <v>436</v>
      </c>
      <c r="G244" s="15" t="s">
        <v>481</v>
      </c>
      <c r="H244" s="15"/>
      <c r="I244" s="11" t="n">
        <v>5</v>
      </c>
      <c r="J244" s="11" t="s">
        <v>432</v>
      </c>
      <c r="O244" s="69" t="str">
        <f aca="false">IF(AND(LEN(TRIM($B244&amp;""))&gt;0,LEN(TRIM($P244&amp;""))=0),"PASS","FAIL — "&amp;IF(LEN(TRIM($P244&amp;""))&gt;0,TRIM($P244&amp;""),"line ≠ qty×unit, a required cell empty, or qty/£ non-positive"))</f>
        <v>PASS</v>
      </c>
      <c r="P244" s="70"/>
      <c r="Q244" s="16" t="str">
        <f aca="false">IF(AND(LEN(TRIM(B244&amp;""))&gt;0,TRIM(B244&amp;"")&lt;&gt;"—",LEN(TRIM(C244&amp;""))&gt;0,TRIM(C244&amp;"")&lt;&gt;"—",ISNUMBER(C244),LEN(TRIM(F244&amp;""))&gt;0,TRIM(F244&amp;"")&lt;&gt;"—",LEN(TRIM(I244&amp;""))&gt;0,TRIM(I244&amp;"")&lt;&gt;"—",LEN(TRIM(J244&amp;""))&gt;0,TRIM(J244&amp;"")&lt;&gt;"—",LEN(TRIM(O244&amp;""))&gt;0,TRIM(O244&amp;"")&lt;&gt;"—"),"PASS","⚠ FAIL — "&amp;"a required cell is empty/placeholder or wrong type")</f>
        <v>PASS</v>
      </c>
    </row>
    <row r="245" customFormat="false" ht="15" hidden="true" customHeight="false" outlineLevel="1" collapsed="false">
      <c r="A245" s="11" t="s">
        <v>811</v>
      </c>
      <c r="B245" s="68" t="s">
        <v>489</v>
      </c>
      <c r="C245" s="28" t="n">
        <v>1</v>
      </c>
      <c r="D245" s="11" t="s">
        <v>479</v>
      </c>
      <c r="E245" s="11" t="s">
        <v>480</v>
      </c>
      <c r="F245" s="11" t="s">
        <v>429</v>
      </c>
      <c r="G245" s="15" t="s">
        <v>481</v>
      </c>
      <c r="H245" s="15"/>
      <c r="I245" s="11" t="n">
        <v>4</v>
      </c>
      <c r="J245" s="11" t="s">
        <v>432</v>
      </c>
      <c r="O245" s="69" t="str">
        <f aca="false">IF(AND(LEN(TRIM($B245&amp;""))&gt;0,LEN(TRIM($P245&amp;""))=0),"PASS","FAIL — "&amp;IF(LEN(TRIM($P245&amp;""))&gt;0,TRIM($P245&amp;""),"line ≠ qty×unit, a required cell empty, or qty/£ non-positive"))</f>
        <v>PASS</v>
      </c>
      <c r="P245" s="70"/>
      <c r="Q245" s="16" t="str">
        <f aca="false">IF(AND(LEN(TRIM(B245&amp;""))&gt;0,TRIM(B245&amp;"")&lt;&gt;"—",LEN(TRIM(C245&amp;""))&gt;0,TRIM(C245&amp;"")&lt;&gt;"—",ISNUMBER(C245),LEN(TRIM(F245&amp;""))&gt;0,TRIM(F245&amp;"")&lt;&gt;"—",LEN(TRIM(I245&amp;""))&gt;0,TRIM(I245&amp;"")&lt;&gt;"—",LEN(TRIM(J245&amp;""))&gt;0,TRIM(J245&amp;"")&lt;&gt;"—",LEN(TRIM(O245&amp;""))&gt;0,TRIM(O245&amp;"")&lt;&gt;"—"),"PASS","⚠ FAIL — "&amp;"a required cell is empty/placeholder or wrong type")</f>
        <v>PASS</v>
      </c>
    </row>
    <row r="246" customFormat="false" ht="15" hidden="true" customHeight="false" outlineLevel="1" collapsed="false">
      <c r="A246" s="11" t="s">
        <v>812</v>
      </c>
      <c r="B246" s="68" t="s">
        <v>491</v>
      </c>
      <c r="C246" s="28" t="n">
        <v>1</v>
      </c>
      <c r="D246" s="11" t="s">
        <v>479</v>
      </c>
      <c r="E246" s="11" t="s">
        <v>480</v>
      </c>
      <c r="F246" s="11" t="s">
        <v>436</v>
      </c>
      <c r="G246" s="15" t="s">
        <v>481</v>
      </c>
      <c r="H246" s="15"/>
      <c r="I246" s="11" t="n">
        <v>5</v>
      </c>
      <c r="J246" s="11" t="s">
        <v>432</v>
      </c>
      <c r="O246" s="69" t="str">
        <f aca="false">IF(AND(LEN(TRIM($B246&amp;""))&gt;0,LEN(TRIM($P246&amp;""))=0),"PASS","FAIL — "&amp;IF(LEN(TRIM($P246&amp;""))&gt;0,TRIM($P246&amp;""),"line ≠ qty×unit, a required cell empty, or qty/£ non-positive"))</f>
        <v>PASS</v>
      </c>
      <c r="P246" s="70"/>
      <c r="Q246" s="16" t="str">
        <f aca="false">IF(AND(LEN(TRIM(B246&amp;""))&gt;0,TRIM(B246&amp;"")&lt;&gt;"—",LEN(TRIM(C246&amp;""))&gt;0,TRIM(C246&amp;"")&lt;&gt;"—",ISNUMBER(C246),LEN(TRIM(F246&amp;""))&gt;0,TRIM(F246&amp;"")&lt;&gt;"—",LEN(TRIM(I246&amp;""))&gt;0,TRIM(I246&amp;"")&lt;&gt;"—",LEN(TRIM(J246&amp;""))&gt;0,TRIM(J246&amp;"")&lt;&gt;"—",LEN(TRIM(O246&amp;""))&gt;0,TRIM(O246&amp;"")&lt;&gt;"—"),"PASS","⚠ FAIL — "&amp;"a required cell is empty/placeholder or wrong type")</f>
        <v>PASS</v>
      </c>
    </row>
    <row r="247" customFormat="false" ht="15" hidden="true" customHeight="false" outlineLevel="1" collapsed="false">
      <c r="A247" s="11" t="s">
        <v>813</v>
      </c>
      <c r="B247" s="68" t="s">
        <v>493</v>
      </c>
      <c r="C247" s="28" t="n">
        <v>1</v>
      </c>
      <c r="D247" s="11" t="s">
        <v>479</v>
      </c>
      <c r="E247" s="11" t="s">
        <v>480</v>
      </c>
      <c r="F247" s="11" t="s">
        <v>436</v>
      </c>
      <c r="G247" s="15" t="s">
        <v>481</v>
      </c>
      <c r="H247" s="15"/>
      <c r="I247" s="11" t="n">
        <v>5</v>
      </c>
      <c r="J247" s="11" t="s">
        <v>432</v>
      </c>
      <c r="O247" s="69" t="str">
        <f aca="false">IF(AND(LEN(TRIM($B247&amp;""))&gt;0,LEN(TRIM($P247&amp;""))=0),"PASS","FAIL — "&amp;IF(LEN(TRIM($P247&amp;""))&gt;0,TRIM($P247&amp;""),"line ≠ qty×unit, a required cell empty, or qty/£ non-positive"))</f>
        <v>PASS</v>
      </c>
      <c r="P247" s="70"/>
      <c r="Q247" s="16" t="str">
        <f aca="false">IF(AND(LEN(TRIM(B247&amp;""))&gt;0,TRIM(B247&amp;"")&lt;&gt;"—",LEN(TRIM(C247&amp;""))&gt;0,TRIM(C247&amp;"")&lt;&gt;"—",ISNUMBER(C247),LEN(TRIM(F247&amp;""))&gt;0,TRIM(F247&amp;"")&lt;&gt;"—",LEN(TRIM(I247&amp;""))&gt;0,TRIM(I247&amp;"")&lt;&gt;"—",LEN(TRIM(J247&amp;""))&gt;0,TRIM(J247&amp;"")&lt;&gt;"—",LEN(TRIM(O247&amp;""))&gt;0,TRIM(O247&amp;"")&lt;&gt;"—"),"PASS","⚠ FAIL — "&amp;"a required cell is empty/placeholder or wrong type")</f>
        <v>PASS</v>
      </c>
    </row>
    <row r="248" customFormat="false" ht="15" hidden="true" customHeight="false" outlineLevel="1" collapsed="false">
      <c r="A248" s="11" t="s">
        <v>814</v>
      </c>
      <c r="B248" s="68" t="s">
        <v>495</v>
      </c>
      <c r="C248" s="28" t="n">
        <v>1</v>
      </c>
      <c r="D248" s="11" t="s">
        <v>479</v>
      </c>
      <c r="E248" s="11" t="s">
        <v>480</v>
      </c>
      <c r="F248" s="11" t="s">
        <v>429</v>
      </c>
      <c r="G248" s="15" t="s">
        <v>481</v>
      </c>
      <c r="H248" s="15"/>
      <c r="I248" s="11" t="n">
        <v>4</v>
      </c>
      <c r="J248" s="11" t="s">
        <v>432</v>
      </c>
      <c r="O248" s="69" t="str">
        <f aca="false">IF(AND(LEN(TRIM($B248&amp;""))&gt;0,LEN(TRIM($P248&amp;""))=0),"PASS","FAIL — "&amp;IF(LEN(TRIM($P248&amp;""))&gt;0,TRIM($P248&amp;""),"line ≠ qty×unit, a required cell empty, or qty/£ non-positive"))</f>
        <v>PASS</v>
      </c>
      <c r="P248" s="70"/>
      <c r="Q248" s="16" t="str">
        <f aca="false">IF(AND(LEN(TRIM(B248&amp;""))&gt;0,TRIM(B248&amp;"")&lt;&gt;"—",LEN(TRIM(C248&amp;""))&gt;0,TRIM(C248&amp;"")&lt;&gt;"—",ISNUMBER(C248),LEN(TRIM(F248&amp;""))&gt;0,TRIM(F248&amp;"")&lt;&gt;"—",LEN(TRIM(I248&amp;""))&gt;0,TRIM(I248&amp;"")&lt;&gt;"—",LEN(TRIM(J248&amp;""))&gt;0,TRIM(J248&amp;"")&lt;&gt;"—",LEN(TRIM(O248&amp;""))&gt;0,TRIM(O248&amp;"")&lt;&gt;"—"),"PASS","⚠ FAIL — "&amp;"a required cell is empty/placeholder or wrong type")</f>
        <v>PASS</v>
      </c>
    </row>
    <row r="249" customFormat="false" ht="15" hidden="true" customHeight="false" outlineLevel="1" collapsed="false">
      <c r="A249" s="11" t="s">
        <v>815</v>
      </c>
      <c r="B249" s="68" t="s">
        <v>497</v>
      </c>
      <c r="C249" s="28" t="n">
        <v>1</v>
      </c>
      <c r="D249" s="11" t="s">
        <v>479</v>
      </c>
      <c r="E249" s="11" t="s">
        <v>480</v>
      </c>
      <c r="F249" s="11" t="s">
        <v>429</v>
      </c>
      <c r="G249" s="15" t="s">
        <v>481</v>
      </c>
      <c r="H249" s="15"/>
      <c r="I249" s="11" t="n">
        <v>4</v>
      </c>
      <c r="J249" s="11" t="s">
        <v>432</v>
      </c>
      <c r="O249" s="69" t="str">
        <f aca="false">IF(AND(LEN(TRIM($B249&amp;""))&gt;0,LEN(TRIM($P249&amp;""))=0),"PASS","FAIL — "&amp;IF(LEN(TRIM($P249&amp;""))&gt;0,TRIM($P249&amp;""),"line ≠ qty×unit, a required cell empty, or qty/£ non-positive"))</f>
        <v>PASS</v>
      </c>
      <c r="P249" s="70"/>
      <c r="Q249" s="16" t="str">
        <f aca="false">IF(AND(LEN(TRIM(B249&amp;""))&gt;0,TRIM(B249&amp;"")&lt;&gt;"—",LEN(TRIM(C249&amp;""))&gt;0,TRIM(C249&amp;"")&lt;&gt;"—",ISNUMBER(C249),LEN(TRIM(F249&amp;""))&gt;0,TRIM(F249&amp;"")&lt;&gt;"—",LEN(TRIM(I249&amp;""))&gt;0,TRIM(I249&amp;"")&lt;&gt;"—",LEN(TRIM(J249&amp;""))&gt;0,TRIM(J249&amp;"")&lt;&gt;"—",LEN(TRIM(O249&amp;""))&gt;0,TRIM(O249&amp;"")&lt;&gt;"—"),"PASS","⚠ FAIL — "&amp;"a required cell is empty/placeholder or wrong type")</f>
        <v>PASS</v>
      </c>
    </row>
    <row r="250" customFormat="false" ht="15" hidden="true" customHeight="false" outlineLevel="1" collapsed="false">
      <c r="A250" s="11" t="s">
        <v>816</v>
      </c>
      <c r="B250" s="68" t="s">
        <v>499</v>
      </c>
      <c r="C250" s="28" t="n">
        <v>1</v>
      </c>
      <c r="D250" s="11" t="s">
        <v>479</v>
      </c>
      <c r="E250" s="11" t="s">
        <v>480</v>
      </c>
      <c r="F250" s="11" t="s">
        <v>436</v>
      </c>
      <c r="G250" s="15" t="s">
        <v>481</v>
      </c>
      <c r="H250" s="15"/>
      <c r="I250" s="11" t="n">
        <v>5</v>
      </c>
      <c r="J250" s="11" t="s">
        <v>432</v>
      </c>
      <c r="O250" s="69" t="str">
        <f aca="false">IF(AND(LEN(TRIM($B250&amp;""))&gt;0,LEN(TRIM($P250&amp;""))=0),"PASS","FAIL — "&amp;IF(LEN(TRIM($P250&amp;""))&gt;0,TRIM($P250&amp;""),"line ≠ qty×unit, a required cell empty, or qty/£ non-positive"))</f>
        <v>PASS</v>
      </c>
      <c r="P250" s="70"/>
      <c r="Q250" s="16" t="str">
        <f aca="false">IF(AND(LEN(TRIM(B250&amp;""))&gt;0,TRIM(B250&amp;"")&lt;&gt;"—",LEN(TRIM(C250&amp;""))&gt;0,TRIM(C250&amp;"")&lt;&gt;"—",ISNUMBER(C250),LEN(TRIM(F250&amp;""))&gt;0,TRIM(F250&amp;"")&lt;&gt;"—",LEN(TRIM(I250&amp;""))&gt;0,TRIM(I250&amp;"")&lt;&gt;"—",LEN(TRIM(J250&amp;""))&gt;0,TRIM(J250&amp;"")&lt;&gt;"—",LEN(TRIM(O250&amp;""))&gt;0,TRIM(O250&amp;"")&lt;&gt;"—"),"PASS","⚠ FAIL — "&amp;"a required cell is empty/placeholder or wrong type")</f>
        <v>PASS</v>
      </c>
    </row>
    <row r="251" customFormat="false" ht="32.8" hidden="false" customHeight="false" outlineLevel="0" collapsed="false">
      <c r="A251" s="11" t="str">
        <f aca="false">'Part names'!$A$73</f>
        <v>X-115 / X-122</v>
      </c>
      <c r="B251" s="68" t="str">
        <f aca="false">'Part names'!$B$73</f>
        <v>PLC Controller</v>
      </c>
      <c r="C251" s="28" t="n">
        <v>2</v>
      </c>
      <c r="D251" s="36" t="n">
        <v>313</v>
      </c>
      <c r="E251" s="36" t="n">
        <v>626</v>
      </c>
      <c r="F251" s="11" t="s">
        <v>421</v>
      </c>
      <c r="G251" s="15" t="s">
        <v>422</v>
      </c>
      <c r="H251" s="15" t="s">
        <v>421</v>
      </c>
      <c r="I251" s="11" t="n">
        <v>2</v>
      </c>
      <c r="J251" s="11" t="s">
        <v>423</v>
      </c>
      <c r="K251" s="15" t="s">
        <v>817</v>
      </c>
      <c r="L251" s="15" t="s">
        <v>425</v>
      </c>
      <c r="M251" s="15" t="s">
        <v>421</v>
      </c>
      <c r="N251" s="68" t="s">
        <v>818</v>
      </c>
      <c r="O251" s="69" t="str">
        <f aca="false">IF(AND(LEN(TRIM($B251&amp;""))&gt;0,ISNUMBER($C251),$C251&gt;0,ISNUMBER($D251),$D251&gt;0,ISNUMBER($E251),$E251&gt;0,ABS($E251-$C251*$D251)&lt;=MAX(1,0.005*ABS($E251)),LEN(TRIM($M251&amp;""))&gt;0,TRIM($M251&amp;"")&lt;&gt;"—",LEN(TRIM($P251&amp;""))=0),"PASS","FAIL — "&amp;IF(LEN(TRIM($P251&amp;""))&gt;0,TRIM($P251&amp;""),"line ≠ qty×unit, a required cell empty, or qty/£ non-positive"))</f>
        <v>PASS</v>
      </c>
      <c r="P251" s="70"/>
      <c r="Q251" s="16" t="str">
        <f aca="false">IF(AND(LEN(TRIM(A251&amp;""))&gt;0,TRIM(A251&amp;"")&lt;&gt;"—",LEN(TRIM(B251&amp;""))&gt;0,TRIM(B251&amp;"")&lt;&gt;"—",LEN(TRIM(C251&amp;""))&gt;0,TRIM(C251&amp;"")&lt;&gt;"—",ISNUMBER(C251),LEN(TRIM(D251&amp;""))&gt;0,TRIM(D251&amp;"")&lt;&gt;"—",ISNUMBER(D251),LEN(TRIM(E251&amp;""))&gt;0,TRIM(E251&amp;"")&lt;&gt;"—",ISNUMBER(E251),LEN(TRIM(F251&amp;""))&gt;0,TRIM(F251&amp;"")&lt;&gt;"—",LEN(TRIM(I251&amp;""))&gt;0,TRIM(I251&amp;"")&lt;&gt;"—",LEN(TRIM(J251&amp;""))&gt;0,TRIM(J251&amp;"")&lt;&gt;"—",LEN(TRIM(O251&amp;""))&gt;0,TRIM(O251&amp;"")&lt;&gt;"—"),"PASS","⚠ FAIL — "&amp;"a required cell is empty/placeholder or wrong type")</f>
        <v>PASS</v>
      </c>
    </row>
    <row r="252" customFormat="false" ht="32.8" hidden="false" customHeight="false" outlineLevel="0" collapsed="false">
      <c r="A252" s="11" t="str">
        <f aca="false">'Part names'!$A$99</f>
        <v>X-116</v>
      </c>
      <c r="B252" s="68" t="str">
        <f aca="false">'Part names'!$B$99</f>
        <v>Veolia Ro40 Controller</v>
      </c>
      <c r="C252" s="28" t="n">
        <v>1</v>
      </c>
      <c r="D252" s="36" t="n">
        <v>12</v>
      </c>
      <c r="E252" s="36" t="n">
        <v>12</v>
      </c>
      <c r="F252" s="11" t="s">
        <v>436</v>
      </c>
      <c r="G252" s="15" t="s">
        <v>437</v>
      </c>
      <c r="H252" s="15" t="s">
        <v>438</v>
      </c>
      <c r="I252" s="11" t="n">
        <v>5</v>
      </c>
      <c r="J252" s="11" t="s">
        <v>432</v>
      </c>
      <c r="K252" s="15" t="s">
        <v>819</v>
      </c>
      <c r="L252" s="15" t="s">
        <v>425</v>
      </c>
      <c r="M252" s="15" t="s">
        <v>445</v>
      </c>
      <c r="N252" s="71" t="s">
        <v>435</v>
      </c>
      <c r="O252" s="69" t="str">
        <f aca="false">IF(AND(LEN(TRIM($B252&amp;""))&gt;0,ISNUMBER($C252),$C252&gt;0,ISNUMBER($D252),$D252&gt;0,ISNUMBER($E252),$E252&gt;0,ABS($E252-$C252*$D252)&lt;=MAX(1,0.005*ABS($E252)),LEN(TRIM($M252&amp;""))&gt;0,TRIM($M252&amp;"")&lt;&gt;"—",LEN(TRIM($P252&amp;""))=0),"PASS","FAIL — "&amp;IF(LEN(TRIM($P252&amp;""))&gt;0,TRIM($P252&amp;""),"line ≠ qty×unit, a required cell empty, or qty/£ non-positive"))</f>
        <v>PASS</v>
      </c>
      <c r="P252" s="70"/>
      <c r="Q252" s="16" t="str">
        <f aca="false">IF(AND(LEN(TRIM(A252&amp;""))&gt;0,TRIM(A252&amp;"")&lt;&gt;"—",LEN(TRIM(B252&amp;""))&gt;0,TRIM(B252&amp;"")&lt;&gt;"—",LEN(TRIM(C252&amp;""))&gt;0,TRIM(C252&amp;"")&lt;&gt;"—",ISNUMBER(C252),LEN(TRIM(D252&amp;""))&gt;0,TRIM(D252&amp;"")&lt;&gt;"—",ISNUMBER(D252),LEN(TRIM(E252&amp;""))&gt;0,TRIM(E252&amp;"")&lt;&gt;"—",ISNUMBER(E252),LEN(TRIM(F252&amp;""))&gt;0,TRIM(F252&amp;"")&lt;&gt;"—",LEN(TRIM(I252&amp;""))&gt;0,TRIM(I252&amp;"")&lt;&gt;"—",LEN(TRIM(J252&amp;""))&gt;0,TRIM(J252&amp;"")&lt;&gt;"—",LEN(TRIM(O252&amp;""))&gt;0,TRIM(O252&amp;"")&lt;&gt;"—"),"PASS","⚠ FAIL — "&amp;"a required cell is empty/placeholder or wrong type")</f>
        <v>PASS</v>
      </c>
    </row>
    <row r="253" customFormat="false" ht="32.8" hidden="false" customHeight="false" outlineLevel="0" collapsed="false">
      <c r="A253" s="11" t="str">
        <f aca="false">'Part names'!$A$57</f>
        <v>X-117</v>
      </c>
      <c r="B253" s="68" t="str">
        <f aca="false">'Part names'!$B$57</f>
        <v>Modbus Interface</v>
      </c>
      <c r="C253" s="28" t="n">
        <v>1</v>
      </c>
      <c r="D253" s="36" t="n">
        <v>160</v>
      </c>
      <c r="E253" s="36" t="n">
        <v>160</v>
      </c>
      <c r="F253" s="11" t="s">
        <v>421</v>
      </c>
      <c r="G253" s="15" t="s">
        <v>422</v>
      </c>
      <c r="H253" s="15" t="s">
        <v>421</v>
      </c>
      <c r="I253" s="11" t="n">
        <v>2</v>
      </c>
      <c r="J253" s="11" t="s">
        <v>423</v>
      </c>
      <c r="K253" s="15" t="s">
        <v>820</v>
      </c>
      <c r="L253" s="15" t="s">
        <v>425</v>
      </c>
      <c r="M253" s="15" t="s">
        <v>421</v>
      </c>
      <c r="N253" s="68" t="s">
        <v>821</v>
      </c>
      <c r="O253" s="69" t="str">
        <f aca="false">IF(AND(LEN(TRIM($B253&amp;""))&gt;0,ISNUMBER($C253),$C253&gt;0,ISNUMBER($D253),$D253&gt;0,ISNUMBER($E253),$E253&gt;0,ABS($E253-$C253*$D253)&lt;=MAX(1,0.005*ABS($E253)),LEN(TRIM($M253&amp;""))&gt;0,TRIM($M253&amp;"")&lt;&gt;"—",LEN(TRIM($P253&amp;""))=0),"PASS","FAIL — "&amp;IF(LEN(TRIM($P253&amp;""))&gt;0,TRIM($P253&amp;""),"line ≠ qty×unit, a required cell empty, or qty/£ non-positive"))</f>
        <v>PASS</v>
      </c>
      <c r="P253" s="70"/>
      <c r="Q253" s="16" t="str">
        <f aca="false">IF(AND(LEN(TRIM(A253&amp;""))&gt;0,TRIM(A253&amp;"")&lt;&gt;"—",LEN(TRIM(B253&amp;""))&gt;0,TRIM(B253&amp;"")&lt;&gt;"—",LEN(TRIM(C253&amp;""))&gt;0,TRIM(C253&amp;"")&lt;&gt;"—",ISNUMBER(C253),LEN(TRIM(D253&amp;""))&gt;0,TRIM(D253&amp;"")&lt;&gt;"—",ISNUMBER(D253),LEN(TRIM(E253&amp;""))&gt;0,TRIM(E253&amp;"")&lt;&gt;"—",ISNUMBER(E253),LEN(TRIM(F253&amp;""))&gt;0,TRIM(F253&amp;"")&lt;&gt;"—",LEN(TRIM(I253&amp;""))&gt;0,TRIM(I253&amp;"")&lt;&gt;"—",LEN(TRIM(J253&amp;""))&gt;0,TRIM(J253&amp;"")&lt;&gt;"—",LEN(TRIM(O253&amp;""))&gt;0,TRIM(O253&amp;"")&lt;&gt;"—"),"PASS","⚠ FAIL — "&amp;"a required cell is empty/placeholder or wrong type")</f>
        <v>PASS</v>
      </c>
    </row>
    <row r="254" customFormat="false" ht="32.8" hidden="false" customHeight="false" outlineLevel="0" collapsed="false">
      <c r="A254" s="11" t="str">
        <f aca="false">'Part names'!$A$31</f>
        <v>X-118</v>
      </c>
      <c r="B254" s="68" t="str">
        <f aca="false">'Part names'!$B$31</f>
        <v>Ethernet Ip Module</v>
      </c>
      <c r="C254" s="28" t="n">
        <v>1</v>
      </c>
      <c r="D254" s="36" t="n">
        <v>132</v>
      </c>
      <c r="E254" s="36" t="n">
        <v>132</v>
      </c>
      <c r="F254" s="11" t="s">
        <v>429</v>
      </c>
      <c r="G254" s="15" t="s">
        <v>822</v>
      </c>
      <c r="H254" s="15" t="s">
        <v>823</v>
      </c>
      <c r="I254" s="11" t="n">
        <v>4</v>
      </c>
      <c r="J254" s="11" t="s">
        <v>432</v>
      </c>
      <c r="K254" s="15" t="s">
        <v>824</v>
      </c>
      <c r="L254" s="15" t="s">
        <v>425</v>
      </c>
      <c r="M254" s="15" t="s">
        <v>825</v>
      </c>
      <c r="N254" s="71" t="s">
        <v>435</v>
      </c>
      <c r="O254" s="69" t="str">
        <f aca="false">IF(AND(LEN(TRIM($B254&amp;""))&gt;0,ISNUMBER($C254),$C254&gt;0,ISNUMBER($D254),$D254&gt;0,ISNUMBER($E254),$E254&gt;0,ABS($E254-$C254*$D254)&lt;=MAX(1,0.005*ABS($E254)),LEN(TRIM($M254&amp;""))&gt;0,TRIM($M254&amp;"")&lt;&gt;"—",LEN(TRIM($P254&amp;""))=0),"PASS","FAIL — "&amp;IF(LEN(TRIM($P254&amp;""))&gt;0,TRIM($P254&amp;""),"line ≠ qty×unit, a required cell empty, or qty/£ non-positive"))</f>
        <v>PASS</v>
      </c>
      <c r="P254" s="70"/>
      <c r="Q254" s="16" t="str">
        <f aca="false">IF(AND(LEN(TRIM(A254&amp;""))&gt;0,TRIM(A254&amp;"")&lt;&gt;"—",LEN(TRIM(B254&amp;""))&gt;0,TRIM(B254&amp;"")&lt;&gt;"—",LEN(TRIM(C254&amp;""))&gt;0,TRIM(C254&amp;"")&lt;&gt;"—",ISNUMBER(C254),LEN(TRIM(D254&amp;""))&gt;0,TRIM(D254&amp;"")&lt;&gt;"—",ISNUMBER(D254),LEN(TRIM(E254&amp;""))&gt;0,TRIM(E254&amp;"")&lt;&gt;"—",ISNUMBER(E254),LEN(TRIM(F254&amp;""))&gt;0,TRIM(F254&amp;"")&lt;&gt;"—",LEN(TRIM(I254&amp;""))&gt;0,TRIM(I254&amp;"")&lt;&gt;"—",LEN(TRIM(J254&amp;""))&gt;0,TRIM(J254&amp;"")&lt;&gt;"—",LEN(TRIM(O254&amp;""))&gt;0,TRIM(O254&amp;"")&lt;&gt;"—"),"PASS","⚠ FAIL — "&amp;"a required cell is empty/placeholder or wrong type")</f>
        <v>PASS</v>
      </c>
    </row>
    <row r="255" customFormat="false" ht="32.8" hidden="false" customHeight="false" outlineLevel="0" collapsed="false">
      <c r="A255" s="11" t="str">
        <f aca="false">'Part names'!$A$44</f>
        <v>X-119</v>
      </c>
      <c r="B255" s="68" t="str">
        <f aca="false">'Part names'!$B$44</f>
        <v>Hoogendoorn iSii Remote Monitoring</v>
      </c>
      <c r="C255" s="28" t="n">
        <v>1</v>
      </c>
      <c r="D255" s="36" t="n">
        <v>985</v>
      </c>
      <c r="E255" s="36" t="n">
        <v>985</v>
      </c>
      <c r="F255" s="11" t="s">
        <v>421</v>
      </c>
      <c r="G255" s="15" t="s">
        <v>422</v>
      </c>
      <c r="H255" s="15" t="s">
        <v>421</v>
      </c>
      <c r="I255" s="11" t="n">
        <v>2</v>
      </c>
      <c r="J255" s="11" t="s">
        <v>423</v>
      </c>
      <c r="K255" s="15" t="s">
        <v>826</v>
      </c>
      <c r="L255" s="15" t="s">
        <v>425</v>
      </c>
      <c r="M255" s="15" t="s">
        <v>421</v>
      </c>
      <c r="N255" s="68" t="s">
        <v>827</v>
      </c>
      <c r="O255" s="69" t="str">
        <f aca="false">IF(AND(LEN(TRIM($B255&amp;""))&gt;0,ISNUMBER($C255),$C255&gt;0,ISNUMBER($D255),$D255&gt;0,ISNUMBER($E255),$E255&gt;0,ABS($E255-$C255*$D255)&lt;=MAX(1,0.005*ABS($E255)),LEN(TRIM($M255&amp;""))&gt;0,TRIM($M255&amp;"")&lt;&gt;"—",LEN(TRIM($P255&amp;""))=0),"PASS","FAIL — "&amp;IF(LEN(TRIM($P255&amp;""))&gt;0,TRIM($P255&amp;""),"line ≠ qty×unit, a required cell empty, or qty/£ non-positive"))</f>
        <v>PASS</v>
      </c>
      <c r="P255" s="70"/>
      <c r="Q255" s="16" t="str">
        <f aca="false">IF(AND(LEN(TRIM(A255&amp;""))&gt;0,TRIM(A255&amp;"")&lt;&gt;"—",LEN(TRIM(B255&amp;""))&gt;0,TRIM(B255&amp;"")&lt;&gt;"—",LEN(TRIM(C255&amp;""))&gt;0,TRIM(C255&amp;"")&lt;&gt;"—",ISNUMBER(C255),LEN(TRIM(D255&amp;""))&gt;0,TRIM(D255&amp;"")&lt;&gt;"—",ISNUMBER(D255),LEN(TRIM(E255&amp;""))&gt;0,TRIM(E255&amp;"")&lt;&gt;"—",ISNUMBER(E255),LEN(TRIM(F255&amp;""))&gt;0,TRIM(F255&amp;"")&lt;&gt;"—",LEN(TRIM(I255&amp;""))&gt;0,TRIM(I255&amp;"")&lt;&gt;"—",LEN(TRIM(J255&amp;""))&gt;0,TRIM(J255&amp;"")&lt;&gt;"—",LEN(TRIM(O255&amp;""))&gt;0,TRIM(O255&amp;"")&lt;&gt;"—"),"PASS","⚠ FAIL — "&amp;"a required cell is empty/placeholder or wrong type")</f>
        <v>PASS</v>
      </c>
    </row>
    <row r="256" customFormat="false" ht="32.8" hidden="false" customHeight="false" outlineLevel="0" collapsed="false">
      <c r="A256" s="11" t="str">
        <f aca="false">'Part names'!$A$22</f>
        <v>X-120</v>
      </c>
      <c r="B256" s="68" t="str">
        <f aca="false">'Part names'!$B$22</f>
        <v>Dc3 Power Controller</v>
      </c>
      <c r="C256" s="28" t="n">
        <v>1</v>
      </c>
      <c r="D256" s="36" t="n">
        <v>12</v>
      </c>
      <c r="E256" s="36" t="n">
        <v>12</v>
      </c>
      <c r="F256" s="11" t="s">
        <v>429</v>
      </c>
      <c r="G256" s="15" t="s">
        <v>469</v>
      </c>
      <c r="H256" s="15" t="s">
        <v>438</v>
      </c>
      <c r="I256" s="11" t="n">
        <v>4</v>
      </c>
      <c r="J256" s="11" t="s">
        <v>432</v>
      </c>
      <c r="K256" s="15" t="s">
        <v>828</v>
      </c>
      <c r="L256" s="15" t="s">
        <v>425</v>
      </c>
      <c r="M256" s="15" t="s">
        <v>445</v>
      </c>
      <c r="N256" s="71" t="s">
        <v>435</v>
      </c>
      <c r="O256" s="69" t="str">
        <f aca="false">IF(AND(LEN(TRIM($B256&amp;""))&gt;0,ISNUMBER($C256),$C256&gt;0,ISNUMBER($D256),$D256&gt;0,ISNUMBER($E256),$E256&gt;0,ABS($E256-$C256*$D256)&lt;=MAX(1,0.005*ABS($E256)),LEN(TRIM($M256&amp;""))&gt;0,TRIM($M256&amp;"")&lt;&gt;"—",LEN(TRIM($P256&amp;""))=0),"PASS","FAIL — "&amp;IF(LEN(TRIM($P256&amp;""))&gt;0,TRIM($P256&amp;""),"line ≠ qty×unit, a required cell empty, or qty/£ non-positive"))</f>
        <v>PASS</v>
      </c>
      <c r="P256" s="70"/>
      <c r="Q256" s="16" t="str">
        <f aca="false">IF(AND(LEN(TRIM(A256&amp;""))&gt;0,TRIM(A256&amp;"")&lt;&gt;"—",LEN(TRIM(B256&amp;""))&gt;0,TRIM(B256&amp;"")&lt;&gt;"—",LEN(TRIM(C256&amp;""))&gt;0,TRIM(C256&amp;"")&lt;&gt;"—",ISNUMBER(C256),LEN(TRIM(D256&amp;""))&gt;0,TRIM(D256&amp;"")&lt;&gt;"—",ISNUMBER(D256),LEN(TRIM(E256&amp;""))&gt;0,TRIM(E256&amp;"")&lt;&gt;"—",ISNUMBER(E256),LEN(TRIM(F256&amp;""))&gt;0,TRIM(F256&amp;"")&lt;&gt;"—",LEN(TRIM(I256&amp;""))&gt;0,TRIM(I256&amp;"")&lt;&gt;"—",LEN(TRIM(J256&amp;""))&gt;0,TRIM(J256&amp;"")&lt;&gt;"—",LEN(TRIM(O256&amp;""))&gt;0,TRIM(O256&amp;"")&lt;&gt;"—"),"PASS","⚠ FAIL — "&amp;"a required cell is empty/placeholder or wrong type")</f>
        <v>PASS</v>
      </c>
    </row>
    <row r="257" customFormat="false" ht="23.85" hidden="false" customHeight="false" outlineLevel="0" collapsed="false">
      <c r="A257" s="11" t="str">
        <f aca="false">'Part names'!$A$43</f>
        <v>X-121</v>
      </c>
      <c r="B257" s="68" t="str">
        <f aca="false">'Part names'!$B$43</f>
        <v>HMI Touchscreen</v>
      </c>
      <c r="C257" s="28" t="n">
        <v>1</v>
      </c>
      <c r="D257" s="36" t="n">
        <v>595</v>
      </c>
      <c r="E257" s="36" t="n">
        <v>595</v>
      </c>
      <c r="F257" s="11" t="s">
        <v>421</v>
      </c>
      <c r="G257" s="15" t="s">
        <v>422</v>
      </c>
      <c r="H257" s="15" t="s">
        <v>421</v>
      </c>
      <c r="I257" s="11" t="n">
        <v>2</v>
      </c>
      <c r="J257" s="11" t="s">
        <v>423</v>
      </c>
      <c r="K257" s="15" t="s">
        <v>829</v>
      </c>
      <c r="L257" s="68" t="s">
        <v>512</v>
      </c>
      <c r="M257" s="15" t="s">
        <v>570</v>
      </c>
      <c r="N257" s="68" t="s">
        <v>830</v>
      </c>
      <c r="O257" s="69" t="str">
        <f aca="false">IF(AND(LEN(TRIM($B257&amp;""))&gt;0,ISNUMBER($C257),$C257&gt;0,ISNUMBER($D257),$D257&gt;0,ISNUMBER($E257),$E257&gt;0,ABS($E257-$C257*$D257)&lt;=MAX(1,0.005*ABS($E257)),LEN(TRIM($M257&amp;""))&gt;0,TRIM($M257&amp;"")&lt;&gt;"—",LEN(TRIM($P257&amp;""))=0),"PASS","FAIL — "&amp;IF(LEN(TRIM($P257&amp;""))&gt;0,TRIM($P257&amp;""),"line ≠ qty×unit, a required cell empty, or qty/£ non-positive"))</f>
        <v>PASS</v>
      </c>
      <c r="P257" s="70"/>
      <c r="Q257" s="16" t="str">
        <f aca="false">IF(AND(LEN(TRIM(A257&amp;""))&gt;0,TRIM(A257&amp;"")&lt;&gt;"—",LEN(TRIM(B257&amp;""))&gt;0,TRIM(B257&amp;"")&lt;&gt;"—",LEN(TRIM(C257&amp;""))&gt;0,TRIM(C257&amp;"")&lt;&gt;"—",ISNUMBER(C257),LEN(TRIM(D257&amp;""))&gt;0,TRIM(D257&amp;"")&lt;&gt;"—",ISNUMBER(D257),LEN(TRIM(E257&amp;""))&gt;0,TRIM(E257&amp;"")&lt;&gt;"—",ISNUMBER(E257),LEN(TRIM(F257&amp;""))&gt;0,TRIM(F257&amp;"")&lt;&gt;"—",LEN(TRIM(I257&amp;""))&gt;0,TRIM(I257&amp;"")&lt;&gt;"—",LEN(TRIM(J257&amp;""))&gt;0,TRIM(J257&amp;"")&lt;&gt;"—",LEN(TRIM(O257&amp;""))&gt;0,TRIM(O257&amp;"")&lt;&gt;"—"),"PASS","⚠ FAIL — "&amp;"a required cell is empty/placeholder or wrong type")</f>
        <v>PASS</v>
      </c>
    </row>
    <row r="258" customFormat="false" ht="32.8" hidden="false" customHeight="false" outlineLevel="0" collapsed="false">
      <c r="A258" s="11" t="str">
        <f aca="false">'Part names'!$A$58</f>
        <v>X-123</v>
      </c>
      <c r="B258" s="68" t="str">
        <f aca="false">'Part names'!$B$58</f>
        <v>Modbus Tcp Interface</v>
      </c>
      <c r="C258" s="28" t="n">
        <v>1</v>
      </c>
      <c r="D258" s="36" t="n">
        <v>3</v>
      </c>
      <c r="E258" s="36" t="n">
        <v>3</v>
      </c>
      <c r="F258" s="11" t="s">
        <v>436</v>
      </c>
      <c r="G258" s="15" t="s">
        <v>437</v>
      </c>
      <c r="H258" s="15" t="s">
        <v>421</v>
      </c>
      <c r="I258" s="11" t="n">
        <v>5</v>
      </c>
      <c r="J258" s="11" t="s">
        <v>432</v>
      </c>
      <c r="K258" s="15" t="s">
        <v>831</v>
      </c>
      <c r="L258" s="15" t="s">
        <v>425</v>
      </c>
      <c r="M258" s="15" t="s">
        <v>832</v>
      </c>
      <c r="N258" s="68" t="s">
        <v>833</v>
      </c>
      <c r="O258" s="69" t="str">
        <f aca="false">IF(AND(LEN(TRIM($B258&amp;""))&gt;0,ISNUMBER($C258),$C258&gt;0,ISNUMBER($D258),$D258&gt;0,ISNUMBER($E258),$E258&gt;0,ABS($E258-$C258*$D258)&lt;=MAX(1,0.005*ABS($E258)),LEN(TRIM($M258&amp;""))&gt;0,TRIM($M258&amp;"")&lt;&gt;"—",LEN(TRIM($P258&amp;""))=0),"PASS","FAIL — "&amp;IF(LEN(TRIM($P258&amp;""))&gt;0,TRIM($P258&amp;""),"line ≠ qty×unit, a required cell empty, or qty/£ non-positive"))</f>
        <v>PASS</v>
      </c>
      <c r="P258" s="70"/>
      <c r="Q258" s="16" t="str">
        <f aca="false">IF(AND(LEN(TRIM(A258&amp;""))&gt;0,TRIM(A258&amp;"")&lt;&gt;"—",LEN(TRIM(B258&amp;""))&gt;0,TRIM(B258&amp;"")&lt;&gt;"—",LEN(TRIM(C258&amp;""))&gt;0,TRIM(C258&amp;"")&lt;&gt;"—",ISNUMBER(C258),LEN(TRIM(D258&amp;""))&gt;0,TRIM(D258&amp;"")&lt;&gt;"—",ISNUMBER(D258),LEN(TRIM(E258&amp;""))&gt;0,TRIM(E258&amp;"")&lt;&gt;"—",ISNUMBER(E258),LEN(TRIM(F258&amp;""))&gt;0,TRIM(F258&amp;"")&lt;&gt;"—",LEN(TRIM(I258&amp;""))&gt;0,TRIM(I258&amp;"")&lt;&gt;"—",LEN(TRIM(J258&amp;""))&gt;0,TRIM(J258&amp;"")&lt;&gt;"—",LEN(TRIM(O258&amp;""))&gt;0,TRIM(O258&amp;"")&lt;&gt;"—"),"PASS","⚠ FAIL — "&amp;"a required cell is empty/placeholder or wrong type")</f>
        <v>PASS</v>
      </c>
    </row>
    <row r="259" customFormat="false" ht="32.8" hidden="false" customHeight="false" outlineLevel="0" collapsed="false">
      <c r="A259" s="11" t="str">
        <f aca="false">'Part names'!$A$80</f>
        <v>X-124</v>
      </c>
      <c r="B259" s="68" t="str">
        <f aca="false">'Part names'!$B$80</f>
        <v>Remote Monitoring Gateway</v>
      </c>
      <c r="C259" s="28" t="n">
        <v>1</v>
      </c>
      <c r="D259" s="36" t="n">
        <v>500</v>
      </c>
      <c r="E259" s="36" t="n">
        <v>500</v>
      </c>
      <c r="F259" s="11" t="s">
        <v>421</v>
      </c>
      <c r="G259" s="15" t="s">
        <v>422</v>
      </c>
      <c r="H259" s="15" t="s">
        <v>421</v>
      </c>
      <c r="I259" s="11" t="n">
        <v>4</v>
      </c>
      <c r="J259" s="11" t="s">
        <v>453</v>
      </c>
      <c r="K259" s="15" t="s">
        <v>834</v>
      </c>
      <c r="L259" s="15" t="s">
        <v>425</v>
      </c>
      <c r="M259" s="15" t="s">
        <v>835</v>
      </c>
      <c r="N259" s="68" t="s">
        <v>827</v>
      </c>
      <c r="O259" s="69" t="str">
        <f aca="false">IF(AND(LEN(TRIM($B259&amp;""))&gt;0,ISNUMBER($C259),$C259&gt;0,ISNUMBER($D259),$D259&gt;0,ISNUMBER($E259),$E259&gt;0,ABS($E259-$C259*$D259)&lt;=MAX(1,0.005*ABS($E259)),LEN(TRIM($M259&amp;""))&gt;0,TRIM($M259&amp;"")&lt;&gt;"—",LEN(TRIM($P259&amp;""))=0),"PASS","FAIL — "&amp;IF(LEN(TRIM($P259&amp;""))&gt;0,TRIM($P259&amp;""),"line ≠ qty×unit, a required cell empty, or qty/£ non-positive"))</f>
        <v>PASS</v>
      </c>
      <c r="P259" s="70"/>
      <c r="Q259" s="16" t="str">
        <f aca="false">IF(AND(LEN(TRIM(A259&amp;""))&gt;0,TRIM(A259&amp;"")&lt;&gt;"—",LEN(TRIM(B259&amp;""))&gt;0,TRIM(B259&amp;"")&lt;&gt;"—",LEN(TRIM(C259&amp;""))&gt;0,TRIM(C259&amp;"")&lt;&gt;"—",ISNUMBER(C259),LEN(TRIM(D259&amp;""))&gt;0,TRIM(D259&amp;"")&lt;&gt;"—",ISNUMBER(D259),LEN(TRIM(E259&amp;""))&gt;0,TRIM(E259&amp;"")&lt;&gt;"—",ISNUMBER(E259),LEN(TRIM(F259&amp;""))&gt;0,TRIM(F259&amp;"")&lt;&gt;"—",LEN(TRIM(I259&amp;""))&gt;0,TRIM(I259&amp;"")&lt;&gt;"—",LEN(TRIM(J259&amp;""))&gt;0,TRIM(J259&amp;"")&lt;&gt;"—",LEN(TRIM(O259&amp;""))&gt;0,TRIM(O259&amp;"")&lt;&gt;"—"),"PASS","⚠ FAIL — "&amp;"a required cell is empty/placeholder or wrong type")</f>
        <v>PASS</v>
      </c>
    </row>
    <row r="260" customFormat="false" ht="32.8" hidden="false" customHeight="false" outlineLevel="0" collapsed="false">
      <c r="A260" s="11" t="str">
        <f aca="false">'Part names'!$A$23</f>
        <v>I-103</v>
      </c>
      <c r="B260" s="68" t="str">
        <f aca="false">'Part names'!$B$23</f>
        <v>Digital Control Panel</v>
      </c>
      <c r="C260" s="28" t="n">
        <v>1</v>
      </c>
      <c r="D260" s="36" t="n">
        <v>800</v>
      </c>
      <c r="E260" s="36" t="n">
        <v>800</v>
      </c>
      <c r="F260" s="11" t="s">
        <v>429</v>
      </c>
      <c r="G260" s="15" t="s">
        <v>469</v>
      </c>
      <c r="H260" s="15" t="s">
        <v>462</v>
      </c>
      <c r="I260" s="11" t="n">
        <v>4</v>
      </c>
      <c r="J260" s="11" t="s">
        <v>432</v>
      </c>
      <c r="K260" s="15" t="s">
        <v>836</v>
      </c>
      <c r="L260" s="15" t="s">
        <v>425</v>
      </c>
      <c r="M260" s="15" t="s">
        <v>464</v>
      </c>
      <c r="N260" s="71" t="s">
        <v>435</v>
      </c>
      <c r="O260" s="69" t="str">
        <f aca="false">IF(AND(LEN(TRIM($B260&amp;""))&gt;0,ISNUMBER($C260),$C260&gt;0,ISNUMBER($D260),$D260&gt;0,ISNUMBER($E260),$E260&gt;0,ABS($E260-$C260*$D260)&lt;=MAX(1,0.005*ABS($E260)),LEN(TRIM($M260&amp;""))&gt;0,TRIM($M260&amp;"")&lt;&gt;"—",LEN(TRIM($P260&amp;""))=0),"PASS","FAIL — "&amp;IF(LEN(TRIM($P260&amp;""))&gt;0,TRIM($P260&amp;""),"line ≠ qty×unit, a required cell empty, or qty/£ non-positive"))</f>
        <v>PASS</v>
      </c>
      <c r="P260" s="70"/>
      <c r="Q260" s="16" t="str">
        <f aca="false">IF(AND(LEN(TRIM(A260&amp;""))&gt;0,TRIM(A260&amp;"")&lt;&gt;"—",LEN(TRIM(B260&amp;""))&gt;0,TRIM(B260&amp;"")&lt;&gt;"—",LEN(TRIM(C260&amp;""))&gt;0,TRIM(C260&amp;"")&lt;&gt;"—",ISNUMBER(C260),LEN(TRIM(D260&amp;""))&gt;0,TRIM(D260&amp;"")&lt;&gt;"—",ISNUMBER(D260),LEN(TRIM(E260&amp;""))&gt;0,TRIM(E260&amp;"")&lt;&gt;"—",ISNUMBER(E260),LEN(TRIM(F260&amp;""))&gt;0,TRIM(F260&amp;"")&lt;&gt;"—",LEN(TRIM(I260&amp;""))&gt;0,TRIM(I260&amp;"")&lt;&gt;"—",LEN(TRIM(J260&amp;""))&gt;0,TRIM(J260&amp;"")&lt;&gt;"—",LEN(TRIM(O260&amp;""))&gt;0,TRIM(O260&amp;"")&lt;&gt;"—"),"PASS","⚠ FAIL — "&amp;"a required cell is empty/placeholder or wrong type")</f>
        <v>PASS</v>
      </c>
    </row>
    <row r="261" customFormat="false" ht="23.85" hidden="false" customHeight="false" outlineLevel="0" collapsed="false">
      <c r="A261" s="11" t="str">
        <f aca="false">'Part names'!$A$88</f>
        <v>X-125 / V-107</v>
      </c>
      <c r="B261" s="68" t="str">
        <f aca="false">'Part names'!$B$88</f>
        <v>Solenoid Valve</v>
      </c>
      <c r="C261" s="28" t="n">
        <v>2</v>
      </c>
      <c r="D261" s="36" t="n">
        <v>424</v>
      </c>
      <c r="E261" s="36" t="n">
        <v>848</v>
      </c>
      <c r="F261" s="11" t="s">
        <v>421</v>
      </c>
      <c r="G261" s="15" t="s">
        <v>422</v>
      </c>
      <c r="H261" s="15" t="s">
        <v>421</v>
      </c>
      <c r="I261" s="11" t="n">
        <v>2</v>
      </c>
      <c r="J261" s="11" t="s">
        <v>423</v>
      </c>
      <c r="K261" s="15" t="s">
        <v>837</v>
      </c>
      <c r="L261" s="68" t="s">
        <v>512</v>
      </c>
      <c r="M261" s="15" t="s">
        <v>570</v>
      </c>
      <c r="N261" s="68" t="s">
        <v>838</v>
      </c>
      <c r="O261" s="69" t="str">
        <f aca="false">IF(AND(LEN(TRIM($B261&amp;""))&gt;0,ISNUMBER($C261),$C261&gt;0,ISNUMBER($D261),$D261&gt;0,ISNUMBER($E261),$E261&gt;0,ABS($E261-$C261*$D261)&lt;=MAX(1,0.005*ABS($E261)),LEN(TRIM($M261&amp;""))&gt;0,TRIM($M261&amp;"")&lt;&gt;"—",LEN(TRIM($P261&amp;""))=0),"PASS","FAIL — "&amp;IF(LEN(TRIM($P261&amp;""))&gt;0,TRIM($P261&amp;""),"line ≠ qty×unit, a required cell empty, or qty/£ non-positive"))</f>
        <v>PASS</v>
      </c>
      <c r="P261" s="70"/>
      <c r="Q261" s="16" t="str">
        <f aca="false">IF(AND(LEN(TRIM(A261&amp;""))&gt;0,TRIM(A261&amp;"")&lt;&gt;"—",LEN(TRIM(B261&amp;""))&gt;0,TRIM(B261&amp;"")&lt;&gt;"—",LEN(TRIM(C261&amp;""))&gt;0,TRIM(C261&amp;"")&lt;&gt;"—",ISNUMBER(C261),LEN(TRIM(D261&amp;""))&gt;0,TRIM(D261&amp;"")&lt;&gt;"—",ISNUMBER(D261),LEN(TRIM(E261&amp;""))&gt;0,TRIM(E261&amp;"")&lt;&gt;"—",ISNUMBER(E261),LEN(TRIM(F261&amp;""))&gt;0,TRIM(F261&amp;"")&lt;&gt;"—",LEN(TRIM(I261&amp;""))&gt;0,TRIM(I261&amp;"")&lt;&gt;"—",LEN(TRIM(J261&amp;""))&gt;0,TRIM(J261&amp;"")&lt;&gt;"—",LEN(TRIM(O261&amp;""))&gt;0,TRIM(O261&amp;"")&lt;&gt;"—"),"PASS","⚠ FAIL — "&amp;"a required cell is empty/placeholder or wrong type")</f>
        <v>PASS</v>
      </c>
    </row>
    <row r="262" customFormat="false" ht="43.25" hidden="false" customHeight="false" outlineLevel="0" collapsed="false">
      <c r="A262" s="11" t="str">
        <f aca="false">'Part names'!$A$74</f>
        <v>X-126</v>
      </c>
      <c r="B262" s="68" t="str">
        <f aca="false">'Part names'!$B$74</f>
        <v>Pneumatic Actuated Valves</v>
      </c>
      <c r="C262" s="28" t="n">
        <v>200</v>
      </c>
      <c r="D262" s="36" t="n">
        <v>200</v>
      </c>
      <c r="E262" s="36" t="n">
        <v>40000</v>
      </c>
      <c r="F262" s="11" t="s">
        <v>429</v>
      </c>
      <c r="G262" s="15" t="s">
        <v>469</v>
      </c>
      <c r="H262" s="15" t="s">
        <v>839</v>
      </c>
      <c r="I262" s="11" t="n">
        <v>4</v>
      </c>
      <c r="J262" s="11" t="s">
        <v>432</v>
      </c>
      <c r="K262" s="15" t="s">
        <v>840</v>
      </c>
      <c r="L262" s="68" t="s">
        <v>512</v>
      </c>
      <c r="M262" s="15" t="s">
        <v>841</v>
      </c>
      <c r="N262" s="68" t="s">
        <v>842</v>
      </c>
      <c r="O262" s="69" t="str">
        <f aca="false">IF(AND(LEN(TRIM($B262&amp;""))&gt;0,ISNUMBER($C262),$C262&gt;0,ISNUMBER($D262),$D262&gt;0,ISNUMBER($E262),$E262&gt;0,ABS($E262-$C262*$D262)&lt;=MAX(1,0.005*ABS($E262)),LEN(TRIM($M262&amp;""))&gt;0,TRIM($M262&amp;"")&lt;&gt;"—",LEN(TRIM($P262&amp;""))=0),"PASS","FAIL — "&amp;IF(LEN(TRIM($P262&amp;""))&gt;0,TRIM($P262&amp;""),"line ≠ qty×unit, a required cell empty, or qty/£ non-positive"))</f>
        <v>PASS</v>
      </c>
      <c r="P262" s="70"/>
      <c r="Q262" s="16" t="str">
        <f aca="false">IF(AND(LEN(TRIM(A262&amp;""))&gt;0,TRIM(A262&amp;"")&lt;&gt;"—",LEN(TRIM(B262&amp;""))&gt;0,TRIM(B262&amp;"")&lt;&gt;"—",LEN(TRIM(C262&amp;""))&gt;0,TRIM(C262&amp;"")&lt;&gt;"—",ISNUMBER(C262),LEN(TRIM(D262&amp;""))&gt;0,TRIM(D262&amp;"")&lt;&gt;"—",ISNUMBER(D262),LEN(TRIM(E262&amp;""))&gt;0,TRIM(E262&amp;"")&lt;&gt;"—",ISNUMBER(E262),LEN(TRIM(F262&amp;""))&gt;0,TRIM(F262&amp;"")&lt;&gt;"—",LEN(TRIM(I262&amp;""))&gt;0,TRIM(I262&amp;"")&lt;&gt;"—",LEN(TRIM(J262&amp;""))&gt;0,TRIM(J262&amp;"")&lt;&gt;"—",LEN(TRIM(O262&amp;""))&gt;0,TRIM(O262&amp;"")&lt;&gt;"—"),"PASS","⚠ FAIL — "&amp;"a required cell is empty/placeholder or wrong type")</f>
        <v>PASS</v>
      </c>
    </row>
    <row r="263" customFormat="false" ht="32.8" hidden="false" customHeight="false" outlineLevel="0" collapsed="false">
      <c r="A263" s="11" t="str">
        <f aca="false">'Part names'!$A$56</f>
        <v>X-127</v>
      </c>
      <c r="B263" s="68" t="str">
        <f aca="false">'Part names'!$B$56</f>
        <v>Manual Isolation Valves</v>
      </c>
      <c r="C263" s="28" t="n">
        <v>1</v>
      </c>
      <c r="D263" s="36" t="n">
        <v>95</v>
      </c>
      <c r="E263" s="36" t="n">
        <v>95</v>
      </c>
      <c r="F263" s="11" t="s">
        <v>436</v>
      </c>
      <c r="G263" s="15" t="s">
        <v>437</v>
      </c>
      <c r="H263" s="15" t="s">
        <v>462</v>
      </c>
      <c r="I263" s="11" t="n">
        <v>5</v>
      </c>
      <c r="J263" s="11" t="s">
        <v>432</v>
      </c>
      <c r="K263" s="15" t="s">
        <v>843</v>
      </c>
      <c r="L263" s="68" t="s">
        <v>512</v>
      </c>
      <c r="M263" s="15" t="s">
        <v>844</v>
      </c>
      <c r="N263" s="15" t="s">
        <v>441</v>
      </c>
      <c r="O263" s="69" t="str">
        <f aca="false">IF(AND(LEN(TRIM($B263&amp;""))&gt;0,ISNUMBER($C263),$C263&gt;0,ISNUMBER($D263),$D263&gt;0,ISNUMBER($E263),$E263&gt;0,ABS($E263-$C263*$D263)&lt;=MAX(1,0.005*ABS($E263)),LEN(TRIM($M263&amp;""))&gt;0,TRIM($M263&amp;"")&lt;&gt;"—",LEN(TRIM($P263&amp;""))=0),"PASS","FAIL — "&amp;IF(LEN(TRIM($P263&amp;""))&gt;0,TRIM($P263&amp;""),"line ≠ qty×unit, a required cell empty, or qty/£ non-positive"))</f>
        <v>PASS</v>
      </c>
      <c r="P263" s="70"/>
      <c r="Q263" s="16" t="str">
        <f aca="false">IF(AND(LEN(TRIM(A263&amp;""))&gt;0,TRIM(A263&amp;"")&lt;&gt;"—",LEN(TRIM(B263&amp;""))&gt;0,TRIM(B263&amp;"")&lt;&gt;"—",LEN(TRIM(C263&amp;""))&gt;0,TRIM(C263&amp;"")&lt;&gt;"—",ISNUMBER(C263),LEN(TRIM(D263&amp;""))&gt;0,TRIM(D263&amp;"")&lt;&gt;"—",ISNUMBER(D263),LEN(TRIM(E263&amp;""))&gt;0,TRIM(E263&amp;"")&lt;&gt;"—",ISNUMBER(E263),LEN(TRIM(F263&amp;""))&gt;0,TRIM(F263&amp;"")&lt;&gt;"—",LEN(TRIM(I263&amp;""))&gt;0,TRIM(I263&amp;"")&lt;&gt;"—",LEN(TRIM(J263&amp;""))&gt;0,TRIM(J263&amp;"")&lt;&gt;"—",LEN(TRIM(O263&amp;""))&gt;0,TRIM(O263&amp;"")&lt;&gt;"—"),"PASS","⚠ FAIL — "&amp;"a required cell is empty/placeholder or wrong type")</f>
        <v>PASS</v>
      </c>
    </row>
    <row r="264" customFormat="false" ht="26.85" hidden="false" customHeight="false" outlineLevel="0" collapsed="false">
      <c r="A264" s="11" t="s">
        <v>480</v>
      </c>
      <c r="B264" s="68" t="str">
        <f aca="false">'Part names'!$B$75</f>
        <v>Pneumatic Actuators</v>
      </c>
      <c r="C264" s="28" t="n">
        <v>200</v>
      </c>
      <c r="D264" s="36" t="n">
        <v>30</v>
      </c>
      <c r="E264" s="36" t="n">
        <v>0</v>
      </c>
      <c r="F264" s="11" t="s">
        <v>429</v>
      </c>
      <c r="G264" s="15"/>
      <c r="H264" s="15" t="s">
        <v>462</v>
      </c>
      <c r="I264" s="11" t="n">
        <v>4</v>
      </c>
      <c r="J264" s="11" t="s">
        <v>432</v>
      </c>
      <c r="O264" s="69" t="str">
        <f aca="false">IF(AND(LEN(TRIM($B264&amp;""))&gt;0,ISNUMBER($C264),$C264&gt;0,ISNUMBER($D264),$D264&gt;0,ISNUMBER($E264),$E264&gt;0,LEN(TRIM($P264&amp;""))=0),"PASS","FAIL — "&amp;IF(LEN(TRIM($P264&amp;""))&gt;0,TRIM($P264&amp;""),"line ≠ qty×unit, a required cell empty, or qty/£ non-positive"))</f>
        <v>FAIL — line ≠ qty×unit, a required cell empty, or qty/£ non-positive</v>
      </c>
      <c r="P264" s="70"/>
      <c r="Q264" s="72" t="str">
        <f aca="false">IF(AND(LEN(TRIM(A264&amp;""))&gt;0,TRIM(A264&amp;"")&lt;&gt;"—",TRIM(A264&amp;"")&lt;&gt;"—",LEN(TRIM(B264&amp;""))&gt;0,TRIM(B264&amp;"")&lt;&gt;"—",LEN(TRIM(C264&amp;""))&gt;0,TRIM(C264&amp;"")&lt;&gt;"—",ISNUMBER(C264),LEN(TRIM(D264&amp;""))&gt;0,TRIM(D264&amp;"")&lt;&gt;"—",ISNUMBER(D264),LEN(TRIM(E264&amp;""))&gt;0,TRIM(E264&amp;"")&lt;&gt;"—",ISNUMBER(E264),LEN(TRIM(F264&amp;""))&gt;0,TRIM(F264&amp;"")&lt;&gt;"—",LEN(TRIM(I264&amp;""))&gt;0,TRIM(I264&amp;"")&lt;&gt;"—",LEN(TRIM(J264&amp;""))&gt;0,TRIM(J264&amp;"")&lt;&gt;"—",LEN(TRIM(O264&amp;""))&gt;0,TRIM(O264&amp;"")&lt;&gt;"—"),"PASS","⚠ FAIL — "&amp;"'Tag' placeholder '—'")</f>
        <v>⚠ FAIL — 'Tag' placeholder '—'</v>
      </c>
    </row>
    <row r="265" customFormat="false" ht="23.85" hidden="false" customHeight="false" outlineLevel="0" collapsed="false">
      <c r="A265" s="11" t="str">
        <f aca="false">'Part names'!$A$34</f>
        <v>X-128</v>
      </c>
      <c r="B265" s="68" t="str">
        <f aca="false">'Part names'!$B$34</f>
        <v>Flow Control Valves</v>
      </c>
      <c r="C265" s="28" t="n">
        <v>1</v>
      </c>
      <c r="D265" s="36" t="n">
        <v>18</v>
      </c>
      <c r="E265" s="36" t="n">
        <v>18</v>
      </c>
      <c r="F265" s="11" t="s">
        <v>429</v>
      </c>
      <c r="G265" s="15" t="s">
        <v>469</v>
      </c>
      <c r="H265" s="15" t="s">
        <v>421</v>
      </c>
      <c r="I265" s="11" t="n">
        <v>4</v>
      </c>
      <c r="J265" s="11" t="s">
        <v>432</v>
      </c>
      <c r="K265" s="15" t="s">
        <v>845</v>
      </c>
      <c r="L265" s="68" t="s">
        <v>512</v>
      </c>
      <c r="M265" s="15" t="s">
        <v>570</v>
      </c>
      <c r="N265" s="68" t="s">
        <v>846</v>
      </c>
      <c r="O265" s="69" t="str">
        <f aca="false">IF(AND(LEN(TRIM($B265&amp;""))&gt;0,ISNUMBER($C265),$C265&gt;0,ISNUMBER($D265),$D265&gt;0,ISNUMBER($E265),$E265&gt;0,ABS($E265-$C265*$D265)&lt;=MAX(1,0.005*ABS($E265)),LEN(TRIM($M265&amp;""))&gt;0,TRIM($M265&amp;"")&lt;&gt;"—",LEN(TRIM($P265&amp;""))=0),"PASS","FAIL — "&amp;IF(LEN(TRIM($P265&amp;""))&gt;0,TRIM($P265&amp;""),"line ≠ qty×unit, a required cell empty, or qty/£ non-positive"))</f>
        <v>PASS</v>
      </c>
      <c r="P265" s="70"/>
      <c r="Q265" s="16" t="str">
        <f aca="false">IF(AND(LEN(TRIM(A265&amp;""))&gt;0,TRIM(A265&amp;"")&lt;&gt;"—",LEN(TRIM(B265&amp;""))&gt;0,TRIM(B265&amp;"")&lt;&gt;"—",LEN(TRIM(C265&amp;""))&gt;0,TRIM(C265&amp;"")&lt;&gt;"—",ISNUMBER(C265),LEN(TRIM(D265&amp;""))&gt;0,TRIM(D265&amp;"")&lt;&gt;"—",ISNUMBER(D265),LEN(TRIM(E265&amp;""))&gt;0,TRIM(E265&amp;"")&lt;&gt;"—",ISNUMBER(E265),LEN(TRIM(F265&amp;""))&gt;0,TRIM(F265&amp;"")&lt;&gt;"—",LEN(TRIM(I265&amp;""))&gt;0,TRIM(I265&amp;"")&lt;&gt;"—",LEN(TRIM(J265&amp;""))&gt;0,TRIM(J265&amp;"")&lt;&gt;"—",LEN(TRIM(O265&amp;""))&gt;0,TRIM(O265&amp;"")&lt;&gt;"—"),"PASS","⚠ FAIL — "&amp;"a required cell is empty/placeholder or wrong type")</f>
        <v>PASS</v>
      </c>
    </row>
    <row r="266" customFormat="false" ht="32.8" hidden="false" customHeight="false" outlineLevel="0" collapsed="false">
      <c r="A266" s="11" t="str">
        <f aca="false">'Part names'!$A$46</f>
        <v>FCV-201–202</v>
      </c>
      <c r="B266" s="68" t="str">
        <f aca="false">'Part names'!$B$46 &amp; "  · 45 m³/h · DN100 modulating control valve (45 m³/h @ 2 m/s)"</f>
        <v>Inlet Flow Control Valve  · 45 m³/h · DN100 modulating control valve (45 m³/h @ 2 m/s)</v>
      </c>
      <c r="C266" s="28" t="n">
        <v>2</v>
      </c>
      <c r="D266" s="36" t="n">
        <v>3312</v>
      </c>
      <c r="E266" s="36" t="n">
        <v>6624</v>
      </c>
      <c r="F266" s="11" t="s">
        <v>429</v>
      </c>
      <c r="G266" s="15" t="s">
        <v>469</v>
      </c>
      <c r="H266" s="15" t="s">
        <v>847</v>
      </c>
      <c r="I266" s="11" t="n">
        <v>4</v>
      </c>
      <c r="J266" s="11" t="s">
        <v>432</v>
      </c>
      <c r="K266" s="15" t="s">
        <v>848</v>
      </c>
      <c r="L266" s="15" t="s">
        <v>425</v>
      </c>
      <c r="M266" s="15" t="s">
        <v>849</v>
      </c>
      <c r="N266" s="71" t="s">
        <v>435</v>
      </c>
      <c r="O266" s="69" t="str">
        <f aca="false">IF(AND(LEN(TRIM($B266&amp;""))&gt;0,ISNUMBER($C266),$C266&gt;0,ISNUMBER($D266),$D266&gt;0,ISNUMBER($E266),$E266&gt;0,ABS($E266-$C266*$D266)&lt;=MAX(1,0.005*ABS($E266)),LEN(TRIM($M266&amp;""))&gt;0,TRIM($M266&amp;"")&lt;&gt;"—",LEN(TRIM($P266&amp;""))=0),"PASS","FAIL — "&amp;IF(LEN(TRIM($P266&amp;""))&gt;0,TRIM($P266&amp;""),"line ≠ qty×unit, a required cell empty, or qty/£ non-positive"))</f>
        <v>PASS</v>
      </c>
      <c r="P266" s="70"/>
      <c r="Q266" s="16" t="str">
        <f aca="false">IF(AND(LEN(TRIM(A266&amp;""))&gt;0,TRIM(A266&amp;"")&lt;&gt;"—",LEN(TRIM(B266&amp;""))&gt;0,TRIM(B266&amp;"")&lt;&gt;"—",LEN(TRIM(C266&amp;""))&gt;0,TRIM(C266&amp;"")&lt;&gt;"—",ISNUMBER(C266),LEN(TRIM(D266&amp;""))&gt;0,TRIM(D266&amp;"")&lt;&gt;"—",ISNUMBER(D266),LEN(TRIM(E266&amp;""))&gt;0,TRIM(E266&amp;"")&lt;&gt;"—",ISNUMBER(E266),LEN(TRIM(F266&amp;""))&gt;0,TRIM(F266&amp;"")&lt;&gt;"—",LEN(TRIM(I266&amp;""))&gt;0,TRIM(I266&amp;"")&lt;&gt;"—",LEN(TRIM(J266&amp;""))&gt;0,TRIM(J266&amp;"")&lt;&gt;"—",LEN(TRIM(O266&amp;""))&gt;0,TRIM(O266&amp;"")&lt;&gt;"—"),"PASS","⚠ FAIL — "&amp;"a required cell is empty/placeholder or wrong type")</f>
        <v>PASS</v>
      </c>
    </row>
    <row r="267" customFormat="false" ht="23.85" hidden="false" customHeight="false" outlineLevel="0" collapsed="false">
      <c r="A267" s="11" t="str">
        <f aca="false">'Part names'!$A$55</f>
        <v>V-108 / X-129</v>
      </c>
      <c r="B267" s="68" t="str">
        <f aca="false">'Part names'!$B$55</f>
        <v>Manual Ball Valve</v>
      </c>
      <c r="C267" s="28" t="n">
        <v>2</v>
      </c>
      <c r="D267" s="36" t="n">
        <v>9</v>
      </c>
      <c r="E267" s="36" t="n">
        <v>18</v>
      </c>
      <c r="F267" s="11" t="s">
        <v>429</v>
      </c>
      <c r="G267" s="15" t="s">
        <v>469</v>
      </c>
      <c r="H267" s="15" t="s">
        <v>438</v>
      </c>
      <c r="I267" s="11" t="n">
        <v>4</v>
      </c>
      <c r="J267" s="11" t="s">
        <v>432</v>
      </c>
      <c r="K267" s="15" t="s">
        <v>850</v>
      </c>
      <c r="L267" s="68" t="s">
        <v>512</v>
      </c>
      <c r="M267" s="15" t="s">
        <v>513</v>
      </c>
      <c r="N267" s="15" t="s">
        <v>441</v>
      </c>
      <c r="O267" s="69" t="str">
        <f aca="false">IF(AND(LEN(TRIM($B267&amp;""))&gt;0,ISNUMBER($C267),$C267&gt;0,ISNUMBER($D267),$D267&gt;0,ISNUMBER($E267),$E267&gt;0,ABS($E267-$C267*$D267)&lt;=MAX(1,0.005*ABS($E267)),LEN(TRIM($M267&amp;""))&gt;0,TRIM($M267&amp;"")&lt;&gt;"—",LEN(TRIM($P267&amp;""))=0),"PASS","FAIL — "&amp;IF(LEN(TRIM($P267&amp;""))&gt;0,TRIM($P267&amp;""),"line ≠ qty×unit, a required cell empty, or qty/£ non-positive"))</f>
        <v>PASS</v>
      </c>
      <c r="P267" s="70"/>
      <c r="Q267" s="16" t="str">
        <f aca="false">IF(AND(LEN(TRIM(A267&amp;""))&gt;0,TRIM(A267&amp;"")&lt;&gt;"—",LEN(TRIM(B267&amp;""))&gt;0,TRIM(B267&amp;"")&lt;&gt;"—",LEN(TRIM(C267&amp;""))&gt;0,TRIM(C267&amp;"")&lt;&gt;"—",ISNUMBER(C267),LEN(TRIM(D267&amp;""))&gt;0,TRIM(D267&amp;"")&lt;&gt;"—",ISNUMBER(D267),LEN(TRIM(E267&amp;""))&gt;0,TRIM(E267&amp;"")&lt;&gt;"—",ISNUMBER(E267),LEN(TRIM(F267&amp;""))&gt;0,TRIM(F267&amp;"")&lt;&gt;"—",LEN(TRIM(I267&amp;""))&gt;0,TRIM(I267&amp;"")&lt;&gt;"—",LEN(TRIM(J267&amp;""))&gt;0,TRIM(J267&amp;"")&lt;&gt;"—",LEN(TRIM(O267&amp;""))&gt;0,TRIM(O267&amp;"")&lt;&gt;"—"),"PASS","⚠ FAIL — "&amp;"a required cell is empty/placeholder or wrong type")</f>
        <v>PASS</v>
      </c>
    </row>
    <row r="268" customFormat="false" ht="43.25" hidden="false" customHeight="false" outlineLevel="0" collapsed="false">
      <c r="A268" s="11" t="str">
        <f aca="false">'Part names'!$A$76</f>
        <v>V-109</v>
      </c>
      <c r="B268" s="68" t="str">
        <f aca="false">'Part names'!$B$76</f>
        <v>Pneumatic Control Valve</v>
      </c>
      <c r="C268" s="28" t="n">
        <v>1</v>
      </c>
      <c r="D268" s="36" t="n">
        <v>200</v>
      </c>
      <c r="E268" s="36" t="n">
        <v>200</v>
      </c>
      <c r="F268" s="11" t="s">
        <v>429</v>
      </c>
      <c r="G268" s="15" t="s">
        <v>469</v>
      </c>
      <c r="H268" s="15" t="s">
        <v>839</v>
      </c>
      <c r="I268" s="11" t="n">
        <v>4</v>
      </c>
      <c r="J268" s="11" t="s">
        <v>432</v>
      </c>
      <c r="K268" s="15" t="s">
        <v>851</v>
      </c>
      <c r="L268" s="68" t="s">
        <v>512</v>
      </c>
      <c r="M268" s="15" t="s">
        <v>841</v>
      </c>
      <c r="N268" s="68" t="s">
        <v>852</v>
      </c>
      <c r="O268" s="69" t="str">
        <f aca="false">IF(AND(LEN(TRIM($B268&amp;""))&gt;0,ISNUMBER($C268),$C268&gt;0,ISNUMBER($D268),$D268&gt;0,ISNUMBER($E268),$E268&gt;0,ABS($E268-$C268*$D268)&lt;=MAX(1,0.005*ABS($E268)),LEN(TRIM($M268&amp;""))&gt;0,TRIM($M268&amp;"")&lt;&gt;"—",LEN(TRIM($P268&amp;""))=0),"PASS","FAIL — "&amp;IF(LEN(TRIM($P268&amp;""))&gt;0,TRIM($P268&amp;""),"line ≠ qty×unit, a required cell empty, or qty/£ non-positive"))</f>
        <v>PASS</v>
      </c>
      <c r="P268" s="70"/>
      <c r="Q268" s="16" t="str">
        <f aca="false">IF(AND(LEN(TRIM(A268&amp;""))&gt;0,TRIM(A268&amp;"")&lt;&gt;"—",LEN(TRIM(B268&amp;""))&gt;0,TRIM(B268&amp;"")&lt;&gt;"—",LEN(TRIM(C268&amp;""))&gt;0,TRIM(C268&amp;"")&lt;&gt;"—",ISNUMBER(C268),LEN(TRIM(D268&amp;""))&gt;0,TRIM(D268&amp;"")&lt;&gt;"—",ISNUMBER(D268),LEN(TRIM(E268&amp;""))&gt;0,TRIM(E268&amp;"")&lt;&gt;"—",ISNUMBER(E268),LEN(TRIM(F268&amp;""))&gt;0,TRIM(F268&amp;"")&lt;&gt;"—",LEN(TRIM(I268&amp;""))&gt;0,TRIM(I268&amp;"")&lt;&gt;"—",LEN(TRIM(J268&amp;""))&gt;0,TRIM(J268&amp;"")&lt;&gt;"—",LEN(TRIM(O268&amp;""))&gt;0,TRIM(O268&amp;"")&lt;&gt;"—"),"PASS","⚠ FAIL — "&amp;"a required cell is empty/placeholder or wrong type")</f>
        <v>PASS</v>
      </c>
    </row>
    <row r="269" customFormat="false" ht="43.25" hidden="false" customHeight="false" outlineLevel="0" collapsed="false">
      <c r="A269" s="11" t="str">
        <f aca="false">'Part names'!$A$7</f>
        <v>X-130</v>
      </c>
      <c r="B269" s="68" t="str">
        <f aca="false">'Part names'!$B$7</f>
        <v>Automated Ball Valves</v>
      </c>
      <c r="C269" s="28" t="n">
        <v>1</v>
      </c>
      <c r="D269" s="36" t="n">
        <v>200</v>
      </c>
      <c r="E269" s="36" t="n">
        <v>200</v>
      </c>
      <c r="F269" s="11" t="s">
        <v>429</v>
      </c>
      <c r="G269" s="15" t="s">
        <v>469</v>
      </c>
      <c r="H269" s="15" t="s">
        <v>839</v>
      </c>
      <c r="I269" s="11" t="n">
        <v>4</v>
      </c>
      <c r="J269" s="11" t="s">
        <v>432</v>
      </c>
      <c r="K269" s="15" t="s">
        <v>853</v>
      </c>
      <c r="L269" s="68" t="s">
        <v>512</v>
      </c>
      <c r="M269" s="15" t="s">
        <v>841</v>
      </c>
      <c r="N269" s="71" t="s">
        <v>435</v>
      </c>
      <c r="O269" s="69" t="str">
        <f aca="false">IF(AND(LEN(TRIM($B269&amp;""))&gt;0,ISNUMBER($C269),$C269&gt;0,ISNUMBER($D269),$D269&gt;0,ISNUMBER($E269),$E269&gt;0,ABS($E269-$C269*$D269)&lt;=MAX(1,0.005*ABS($E269)),LEN(TRIM($M269&amp;""))&gt;0,TRIM($M269&amp;"")&lt;&gt;"—",LEN(TRIM($P269&amp;""))=0),"PASS","FAIL — "&amp;IF(LEN(TRIM($P269&amp;""))&gt;0,TRIM($P269&amp;""),"line ≠ qty×unit, a required cell empty, or qty/£ non-positive"))</f>
        <v>PASS</v>
      </c>
      <c r="P269" s="70"/>
      <c r="Q269" s="16" t="str">
        <f aca="false">IF(AND(LEN(TRIM(A269&amp;""))&gt;0,TRIM(A269&amp;"")&lt;&gt;"—",LEN(TRIM(B269&amp;""))&gt;0,TRIM(B269&amp;"")&lt;&gt;"—",LEN(TRIM(C269&amp;""))&gt;0,TRIM(C269&amp;"")&lt;&gt;"—",ISNUMBER(C269),LEN(TRIM(D269&amp;""))&gt;0,TRIM(D269&amp;"")&lt;&gt;"—",ISNUMBER(D269),LEN(TRIM(E269&amp;""))&gt;0,TRIM(E269&amp;"")&lt;&gt;"—",ISNUMBER(E269),LEN(TRIM(F269&amp;""))&gt;0,TRIM(F269&amp;"")&lt;&gt;"—",LEN(TRIM(I269&amp;""))&gt;0,TRIM(I269&amp;"")&lt;&gt;"—",LEN(TRIM(J269&amp;""))&gt;0,TRIM(J269&amp;"")&lt;&gt;"—",LEN(TRIM(O269&amp;""))&gt;0,TRIM(O269&amp;"")&lt;&gt;"—"),"PASS","⚠ FAIL — "&amp;"a required cell is empty/placeholder or wrong type")</f>
        <v>PASS</v>
      </c>
    </row>
    <row r="270" customFormat="false" ht="32.8" hidden="false" customHeight="false" outlineLevel="0" collapsed="false">
      <c r="A270" s="11" t="str">
        <f aca="false">'Part names'!$A$19</f>
        <v>I-104</v>
      </c>
      <c r="B270" s="68" t="str">
        <f aca="false">'Part names'!$B$19</f>
        <v>Conductivity Sensor</v>
      </c>
      <c r="C270" s="28" t="n">
        <v>1</v>
      </c>
      <c r="D270" s="36" t="n">
        <v>80</v>
      </c>
      <c r="E270" s="36" t="n">
        <v>80</v>
      </c>
      <c r="F270" s="11" t="s">
        <v>429</v>
      </c>
      <c r="G270" s="15" t="s">
        <v>469</v>
      </c>
      <c r="H270" s="15" t="s">
        <v>438</v>
      </c>
      <c r="I270" s="11" t="n">
        <v>4</v>
      </c>
      <c r="J270" s="11" t="s">
        <v>432</v>
      </c>
      <c r="K270" s="15" t="s">
        <v>854</v>
      </c>
      <c r="L270" s="15" t="s">
        <v>425</v>
      </c>
      <c r="M270" s="15" t="s">
        <v>445</v>
      </c>
      <c r="N270" s="71" t="s">
        <v>435</v>
      </c>
      <c r="O270" s="69" t="str">
        <f aca="false">IF(AND(LEN(TRIM($B270&amp;""))&gt;0,ISNUMBER($C270),$C270&gt;0,ISNUMBER($D270),$D270&gt;0,ISNUMBER($E270),$E270&gt;0,ABS($E270-$C270*$D270)&lt;=MAX(1,0.005*ABS($E270)),LEN(TRIM($M270&amp;""))&gt;0,TRIM($M270&amp;"")&lt;&gt;"—",LEN(TRIM($P270&amp;""))=0),"PASS","FAIL — "&amp;IF(LEN(TRIM($P270&amp;""))&gt;0,TRIM($P270&amp;""),"line ≠ qty×unit, a required cell empty, or qty/£ non-positive"))</f>
        <v>PASS</v>
      </c>
      <c r="P270" s="70"/>
      <c r="Q270" s="16" t="str">
        <f aca="false">IF(AND(LEN(TRIM(A270&amp;""))&gt;0,TRIM(A270&amp;"")&lt;&gt;"—",LEN(TRIM(B270&amp;""))&gt;0,TRIM(B270&amp;"")&lt;&gt;"—",LEN(TRIM(C270&amp;""))&gt;0,TRIM(C270&amp;"")&lt;&gt;"—",ISNUMBER(C270),LEN(TRIM(D270&amp;""))&gt;0,TRIM(D270&amp;"")&lt;&gt;"—",ISNUMBER(D270),LEN(TRIM(E270&amp;""))&gt;0,TRIM(E270&amp;"")&lt;&gt;"—",ISNUMBER(E270),LEN(TRIM(F270&amp;""))&gt;0,TRIM(F270&amp;"")&lt;&gt;"—",LEN(TRIM(I270&amp;""))&gt;0,TRIM(I270&amp;"")&lt;&gt;"—",LEN(TRIM(J270&amp;""))&gt;0,TRIM(J270&amp;"")&lt;&gt;"—",LEN(TRIM(O270&amp;""))&gt;0,TRIM(O270&amp;"")&lt;&gt;"—"),"PASS","⚠ FAIL — "&amp;"a required cell is empty/placeholder or wrong type")</f>
        <v>PASS</v>
      </c>
    </row>
    <row r="271" customFormat="false" ht="32.8" hidden="false" customHeight="false" outlineLevel="0" collapsed="false">
      <c r="A271" s="11" t="str">
        <f aca="false">'Part names'!$A$35</f>
        <v>I-105 / X-131</v>
      </c>
      <c r="B271" s="68" t="str">
        <f aca="false">'Part names'!$B$35</f>
        <v>Flow Meter</v>
      </c>
      <c r="C271" s="28" t="n">
        <v>2</v>
      </c>
      <c r="D271" s="36" t="n">
        <v>152</v>
      </c>
      <c r="E271" s="36" t="n">
        <v>304</v>
      </c>
      <c r="F271" s="11" t="s">
        <v>421</v>
      </c>
      <c r="G271" s="15" t="s">
        <v>422</v>
      </c>
      <c r="H271" s="15" t="s">
        <v>438</v>
      </c>
      <c r="I271" s="11" t="n">
        <v>2</v>
      </c>
      <c r="J271" s="11" t="s">
        <v>423</v>
      </c>
      <c r="K271" s="15" t="s">
        <v>855</v>
      </c>
      <c r="L271" s="15" t="s">
        <v>425</v>
      </c>
      <c r="M271" s="15" t="s">
        <v>445</v>
      </c>
      <c r="N271" s="68" t="s">
        <v>856</v>
      </c>
      <c r="O271" s="69" t="str">
        <f aca="false">IF(AND(LEN(TRIM($B271&amp;""))&gt;0,ISNUMBER($C271),$C271&gt;0,ISNUMBER($D271),$D271&gt;0,ISNUMBER($E271),$E271&gt;0,ABS($E271-$C271*$D271)&lt;=MAX(1,0.005*ABS($E271)),LEN(TRIM($M271&amp;""))&gt;0,TRIM($M271&amp;"")&lt;&gt;"—",LEN(TRIM($P271&amp;""))=0),"PASS","FAIL — "&amp;IF(LEN(TRIM($P271&amp;""))&gt;0,TRIM($P271&amp;""),"line ≠ qty×unit, a required cell empty, or qty/£ non-positive"))</f>
        <v>PASS</v>
      </c>
      <c r="P271" s="70"/>
      <c r="Q271" s="16" t="str">
        <f aca="false">IF(AND(LEN(TRIM(A271&amp;""))&gt;0,TRIM(A271&amp;"")&lt;&gt;"—",LEN(TRIM(B271&amp;""))&gt;0,TRIM(B271&amp;"")&lt;&gt;"—",LEN(TRIM(C271&amp;""))&gt;0,TRIM(C271&amp;"")&lt;&gt;"—",ISNUMBER(C271),LEN(TRIM(D271&amp;""))&gt;0,TRIM(D271&amp;"")&lt;&gt;"—",ISNUMBER(D271),LEN(TRIM(E271&amp;""))&gt;0,TRIM(E271&amp;"")&lt;&gt;"—",ISNUMBER(E271),LEN(TRIM(F271&amp;""))&gt;0,TRIM(F271&amp;"")&lt;&gt;"—",LEN(TRIM(I271&amp;""))&gt;0,TRIM(I271&amp;"")&lt;&gt;"—",LEN(TRIM(J271&amp;""))&gt;0,TRIM(J271&amp;"")&lt;&gt;"—",LEN(TRIM(O271&amp;""))&gt;0,TRIM(O271&amp;"")&lt;&gt;"—"),"PASS","⚠ FAIL — "&amp;"a required cell is empty/placeholder or wrong type")</f>
        <v>PASS</v>
      </c>
    </row>
    <row r="272" customFormat="false" ht="32.8" hidden="false" customHeight="false" outlineLevel="0" collapsed="false">
      <c r="A272" s="11" t="str">
        <f aca="false">'Part names'!$A$71</f>
        <v>I-106</v>
      </c>
      <c r="B272" s="68" t="str">
        <f aca="false">'Part names'!$B$71</f>
        <v>Ph Sensor</v>
      </c>
      <c r="C272" s="28" t="n">
        <v>1</v>
      </c>
      <c r="D272" s="36" t="n">
        <v>80</v>
      </c>
      <c r="E272" s="36" t="n">
        <v>80</v>
      </c>
      <c r="F272" s="11" t="s">
        <v>429</v>
      </c>
      <c r="G272" s="15" t="s">
        <v>469</v>
      </c>
      <c r="H272" s="15" t="s">
        <v>438</v>
      </c>
      <c r="I272" s="11" t="n">
        <v>4</v>
      </c>
      <c r="J272" s="11" t="s">
        <v>432</v>
      </c>
      <c r="K272" s="15" t="s">
        <v>857</v>
      </c>
      <c r="L272" s="15" t="s">
        <v>425</v>
      </c>
      <c r="M272" s="15" t="s">
        <v>445</v>
      </c>
      <c r="N272" s="71" t="s">
        <v>435</v>
      </c>
      <c r="O272" s="69" t="str">
        <f aca="false">IF(AND(LEN(TRIM($B272&amp;""))&gt;0,ISNUMBER($C272),$C272&gt;0,ISNUMBER($D272),$D272&gt;0,ISNUMBER($E272),$E272&gt;0,ABS($E272-$C272*$D272)&lt;=MAX(1,0.005*ABS($E272)),LEN(TRIM($M272&amp;""))&gt;0,TRIM($M272&amp;"")&lt;&gt;"—",LEN(TRIM($P272&amp;""))=0),"PASS","FAIL — "&amp;IF(LEN(TRIM($P272&amp;""))&gt;0,TRIM($P272&amp;""),"line ≠ qty×unit, a required cell empty, or qty/£ non-positive"))</f>
        <v>PASS</v>
      </c>
      <c r="P272" s="70"/>
      <c r="Q272" s="16" t="str">
        <f aca="false">IF(AND(LEN(TRIM(A272&amp;""))&gt;0,TRIM(A272&amp;"")&lt;&gt;"—",LEN(TRIM(B272&amp;""))&gt;0,TRIM(B272&amp;"")&lt;&gt;"—",LEN(TRIM(C272&amp;""))&gt;0,TRIM(C272&amp;"")&lt;&gt;"—",ISNUMBER(C272),LEN(TRIM(D272&amp;""))&gt;0,TRIM(D272&amp;"")&lt;&gt;"—",ISNUMBER(D272),LEN(TRIM(E272&amp;""))&gt;0,TRIM(E272&amp;"")&lt;&gt;"—",ISNUMBER(E272),LEN(TRIM(F272&amp;""))&gt;0,TRIM(F272&amp;"")&lt;&gt;"—",LEN(TRIM(I272&amp;""))&gt;0,TRIM(I272&amp;"")&lt;&gt;"—",LEN(TRIM(J272&amp;""))&gt;0,TRIM(J272&amp;"")&lt;&gt;"—",LEN(TRIM(O272&amp;""))&gt;0,TRIM(O272&amp;"")&lt;&gt;"—"),"PASS","⚠ FAIL — "&amp;"a required cell is empty/placeholder or wrong type")</f>
        <v>PASS</v>
      </c>
    </row>
    <row r="273" customFormat="false" ht="32.8" hidden="false" customHeight="false" outlineLevel="0" collapsed="false">
      <c r="A273" s="11" t="str">
        <f aca="false">'Part names'!$A$65</f>
        <v>I-107</v>
      </c>
      <c r="B273" s="68" t="str">
        <f aca="false">'Part names'!$B$65</f>
        <v>Orp Sensor</v>
      </c>
      <c r="C273" s="28" t="n">
        <v>1</v>
      </c>
      <c r="D273" s="36" t="n">
        <v>80</v>
      </c>
      <c r="E273" s="36" t="n">
        <v>80</v>
      </c>
      <c r="F273" s="11" t="s">
        <v>429</v>
      </c>
      <c r="G273" s="15" t="s">
        <v>469</v>
      </c>
      <c r="H273" s="15" t="s">
        <v>438</v>
      </c>
      <c r="I273" s="11" t="n">
        <v>4</v>
      </c>
      <c r="J273" s="11" t="s">
        <v>453</v>
      </c>
      <c r="K273" s="15" t="s">
        <v>858</v>
      </c>
      <c r="L273" s="15" t="s">
        <v>425</v>
      </c>
      <c r="M273" s="15" t="s">
        <v>445</v>
      </c>
      <c r="N273" s="71" t="s">
        <v>435</v>
      </c>
      <c r="O273" s="69" t="str">
        <f aca="false">IF(AND(LEN(TRIM($B273&amp;""))&gt;0,ISNUMBER($C273),$C273&gt;0,ISNUMBER($D273),$D273&gt;0,ISNUMBER($E273),$E273&gt;0,ABS($E273-$C273*$D273)&lt;=MAX(1,0.005*ABS($E273)),LEN(TRIM($M273&amp;""))&gt;0,TRIM($M273&amp;"")&lt;&gt;"—",LEN(TRIM($P273&amp;""))=0),"PASS","FAIL — "&amp;IF(LEN(TRIM($P273&amp;""))&gt;0,TRIM($P273&amp;""),"line ≠ qty×unit, a required cell empty, or qty/£ non-positive"))</f>
        <v>PASS</v>
      </c>
      <c r="P273" s="70"/>
      <c r="Q273" s="16" t="str">
        <f aca="false">IF(AND(LEN(TRIM(A273&amp;""))&gt;0,TRIM(A273&amp;"")&lt;&gt;"—",LEN(TRIM(B273&amp;""))&gt;0,TRIM(B273&amp;"")&lt;&gt;"—",LEN(TRIM(C273&amp;""))&gt;0,TRIM(C273&amp;"")&lt;&gt;"—",ISNUMBER(C273),LEN(TRIM(D273&amp;""))&gt;0,TRIM(D273&amp;"")&lt;&gt;"—",ISNUMBER(D273),LEN(TRIM(E273&amp;""))&gt;0,TRIM(E273&amp;"")&lt;&gt;"—",ISNUMBER(E273),LEN(TRIM(F273&amp;""))&gt;0,TRIM(F273&amp;"")&lt;&gt;"—",LEN(TRIM(I273&amp;""))&gt;0,TRIM(I273&amp;"")&lt;&gt;"—",LEN(TRIM(J273&amp;""))&gt;0,TRIM(J273&amp;"")&lt;&gt;"—",LEN(TRIM(O273&amp;""))&gt;0,TRIM(O273&amp;"")&lt;&gt;"—"),"PASS","⚠ FAIL — "&amp;"a required cell is empty/placeholder or wrong type")</f>
        <v>PASS</v>
      </c>
    </row>
    <row r="274" customFormat="false" ht="53.7" hidden="false" customHeight="false" outlineLevel="0" collapsed="false">
      <c r="A274" s="11" t="str">
        <f aca="false">'Part names'!$A$50</f>
        <v>LT-201–213</v>
      </c>
      <c r="B274" s="68" t="str">
        <f aca="false">'Part names'!$B$50 &amp; "  · 0–1.4 m"</f>
        <v>Level Transmitter  · 0–1.4 m</v>
      </c>
      <c r="C274" s="28" t="n">
        <v>13</v>
      </c>
      <c r="D274" s="36" t="n">
        <v>900</v>
      </c>
      <c r="E274" s="36" t="n">
        <v>11700</v>
      </c>
      <c r="F274" s="11" t="s">
        <v>436</v>
      </c>
      <c r="G274" s="15" t="s">
        <v>859</v>
      </c>
      <c r="H274" s="15" t="s">
        <v>860</v>
      </c>
      <c r="I274" s="11" t="n">
        <v>5</v>
      </c>
      <c r="J274" s="11" t="s">
        <v>432</v>
      </c>
      <c r="K274" s="15" t="s">
        <v>861</v>
      </c>
      <c r="L274" s="15" t="s">
        <v>425</v>
      </c>
      <c r="M274" s="15" t="s">
        <v>862</v>
      </c>
      <c r="N274" s="68" t="s">
        <v>863</v>
      </c>
      <c r="O274" s="69" t="str">
        <f aca="false">IF(AND(LEN(TRIM($B274&amp;""))&gt;0,ISNUMBER($C274),$C274&gt;0,ISNUMBER($D274),$D274&gt;0,ISNUMBER($E274),$E274&gt;0,ABS($E274-$C274*$D274)&lt;=MAX(1,0.005*ABS($E274)),LEN(TRIM($M274&amp;""))&gt;0,TRIM($M274&amp;"")&lt;&gt;"—",LEN(TRIM($P274&amp;""))=0),"PASS","FAIL — "&amp;IF(LEN(TRIM($P274&amp;""))&gt;0,TRIM($P274&amp;""),"line ≠ qty×unit, a required cell empty, or qty/£ non-positive"))</f>
        <v>PASS</v>
      </c>
      <c r="P274" s="70"/>
      <c r="Q274" s="16" t="str">
        <f aca="false">IF(AND(LEN(TRIM(A274&amp;""))&gt;0,TRIM(A274&amp;"")&lt;&gt;"—",LEN(TRIM(B274&amp;""))&gt;0,TRIM(B274&amp;"")&lt;&gt;"—",LEN(TRIM(C274&amp;""))&gt;0,TRIM(C274&amp;"")&lt;&gt;"—",ISNUMBER(C274),LEN(TRIM(D274&amp;""))&gt;0,TRIM(D274&amp;"")&lt;&gt;"—",ISNUMBER(D274),LEN(TRIM(E274&amp;""))&gt;0,TRIM(E274&amp;"")&lt;&gt;"—",ISNUMBER(E274),LEN(TRIM(F274&amp;""))&gt;0,TRIM(F274&amp;"")&lt;&gt;"—",LEN(TRIM(I274&amp;""))&gt;0,TRIM(I274&amp;"")&lt;&gt;"—",LEN(TRIM(J274&amp;""))&gt;0,TRIM(J274&amp;"")&lt;&gt;"—",LEN(TRIM(O274&amp;""))&gt;0,TRIM(O274&amp;"")&lt;&gt;"—"),"PASS","⚠ FAIL — "&amp;"a required cell is empty/placeholder or wrong type")</f>
        <v>PASS</v>
      </c>
    </row>
    <row r="275" customFormat="false" ht="32.8" hidden="false" customHeight="false" outlineLevel="0" collapsed="false">
      <c r="A275" s="11" t="s">
        <v>864</v>
      </c>
      <c r="B275" s="68" t="str">
        <f aca="false">'Part names'!$B$50 &amp; "  · 0–3 m"</f>
        <v>Level Transmitter  · 0–3 m</v>
      </c>
      <c r="C275" s="28" t="n">
        <v>1</v>
      </c>
      <c r="D275" s="36" t="n">
        <v>900</v>
      </c>
      <c r="E275" s="36" t="n">
        <v>900</v>
      </c>
      <c r="F275" s="11" t="s">
        <v>436</v>
      </c>
      <c r="G275" s="15" t="s">
        <v>437</v>
      </c>
      <c r="H275" s="15" t="s">
        <v>847</v>
      </c>
      <c r="I275" s="11" t="n">
        <v>5</v>
      </c>
      <c r="J275" s="11" t="s">
        <v>432</v>
      </c>
      <c r="K275" s="15" t="s">
        <v>865</v>
      </c>
      <c r="L275" s="15" t="s">
        <v>425</v>
      </c>
      <c r="M275" s="15" t="s">
        <v>866</v>
      </c>
      <c r="N275" s="68" t="s">
        <v>863</v>
      </c>
      <c r="O275" s="69" t="str">
        <f aca="false">IF(AND(LEN(TRIM($B275&amp;""))&gt;0,ISNUMBER($C275),$C275&gt;0,ISNUMBER($D275),$D275&gt;0,ISNUMBER($E275),$E275&gt;0,ABS($E275-$C275*$D275)&lt;=MAX(1,0.005*ABS($E275)),LEN(TRIM($M275&amp;""))&gt;0,TRIM($M275&amp;"")&lt;&gt;"—",LEN(TRIM($P275&amp;""))=0),"PASS","FAIL — "&amp;IF(LEN(TRIM($P275&amp;""))&gt;0,TRIM($P275&amp;""),"line ≠ qty×unit, a required cell empty, or qty/£ non-positive"))</f>
        <v>PASS</v>
      </c>
      <c r="P275" s="70"/>
      <c r="Q275" s="16" t="str">
        <f aca="false">IF(AND(LEN(TRIM(A275&amp;""))&gt;0,TRIM(A275&amp;"")&lt;&gt;"—",LEN(TRIM(B275&amp;""))&gt;0,TRIM(B275&amp;"")&lt;&gt;"—",LEN(TRIM(C275&amp;""))&gt;0,TRIM(C275&amp;"")&lt;&gt;"—",ISNUMBER(C275),LEN(TRIM(D275&amp;""))&gt;0,TRIM(D275&amp;"")&lt;&gt;"—",ISNUMBER(D275),LEN(TRIM(E275&amp;""))&gt;0,TRIM(E275&amp;"")&lt;&gt;"—",ISNUMBER(E275),LEN(TRIM(F275&amp;""))&gt;0,TRIM(F275&amp;"")&lt;&gt;"—",LEN(TRIM(I275&amp;""))&gt;0,TRIM(I275&amp;"")&lt;&gt;"—",LEN(TRIM(J275&amp;""))&gt;0,TRIM(J275&amp;"")&lt;&gt;"—",LEN(TRIM(O275&amp;""))&gt;0,TRIM(O275&amp;"")&lt;&gt;"—"),"PASS","⚠ FAIL — "&amp;"a required cell is empty/placeholder or wrong type")</f>
        <v>PASS</v>
      </c>
    </row>
    <row r="276" customFormat="false" ht="43.25" hidden="false" customHeight="false" outlineLevel="0" collapsed="false">
      <c r="A276" s="11" t="s">
        <v>867</v>
      </c>
      <c r="B276" s="68" t="str">
        <f aca="false">'Part names'!$B$50 &amp; "  · 0–4 m"</f>
        <v>Level Transmitter  · 0–4 m</v>
      </c>
      <c r="C276" s="28" t="n">
        <v>3</v>
      </c>
      <c r="D276" s="36" t="n">
        <v>900</v>
      </c>
      <c r="E276" s="36" t="n">
        <v>2700</v>
      </c>
      <c r="F276" s="11" t="s">
        <v>436</v>
      </c>
      <c r="G276" s="15" t="s">
        <v>868</v>
      </c>
      <c r="H276" s="15" t="s">
        <v>869</v>
      </c>
      <c r="I276" s="11" t="n">
        <v>5</v>
      </c>
      <c r="J276" s="11" t="s">
        <v>432</v>
      </c>
      <c r="K276" s="15" t="s">
        <v>870</v>
      </c>
      <c r="L276" s="15" t="s">
        <v>425</v>
      </c>
      <c r="M276" s="15" t="s">
        <v>871</v>
      </c>
      <c r="N276" s="68" t="s">
        <v>863</v>
      </c>
      <c r="O276" s="69" t="str">
        <f aca="false">IF(AND(LEN(TRIM($B276&amp;""))&gt;0,ISNUMBER($C276),$C276&gt;0,ISNUMBER($D276),$D276&gt;0,ISNUMBER($E276),$E276&gt;0,ABS($E276-$C276*$D276)&lt;=MAX(1,0.005*ABS($E276)),LEN(TRIM($M276&amp;""))&gt;0,TRIM($M276&amp;"")&lt;&gt;"—",LEN(TRIM($P276&amp;""))=0),"PASS","FAIL — "&amp;IF(LEN(TRIM($P276&amp;""))&gt;0,TRIM($P276&amp;""),"line ≠ qty×unit, a required cell empty, or qty/£ non-positive"))</f>
        <v>PASS</v>
      </c>
      <c r="P276" s="70"/>
      <c r="Q276" s="16" t="str">
        <f aca="false">IF(AND(LEN(TRIM(A276&amp;""))&gt;0,TRIM(A276&amp;"")&lt;&gt;"—",LEN(TRIM(B276&amp;""))&gt;0,TRIM(B276&amp;"")&lt;&gt;"—",LEN(TRIM(C276&amp;""))&gt;0,TRIM(C276&amp;"")&lt;&gt;"—",ISNUMBER(C276),LEN(TRIM(D276&amp;""))&gt;0,TRIM(D276&amp;"")&lt;&gt;"—",ISNUMBER(D276),LEN(TRIM(E276&amp;""))&gt;0,TRIM(E276&amp;"")&lt;&gt;"—",ISNUMBER(E276),LEN(TRIM(F276&amp;""))&gt;0,TRIM(F276&amp;"")&lt;&gt;"—",LEN(TRIM(I276&amp;""))&gt;0,TRIM(I276&amp;"")&lt;&gt;"—",LEN(TRIM(J276&amp;""))&gt;0,TRIM(J276&amp;"")&lt;&gt;"—",LEN(TRIM(O276&amp;""))&gt;0,TRIM(O276&amp;"")&lt;&gt;"—"),"PASS","⚠ FAIL — "&amp;"a required cell is empty/placeholder or wrong type")</f>
        <v>PASS</v>
      </c>
    </row>
    <row r="277" customFormat="false" ht="32.8" hidden="false" customHeight="false" outlineLevel="0" collapsed="false">
      <c r="A277" s="11" t="str">
        <f aca="false">'Part names'!$A$70</f>
        <v>AT-201</v>
      </c>
      <c r="B277" s="68" t="str">
        <f aca="false">'Part names'!$B$70 &amp; "  · pH 0–14 (control 0.3)"</f>
        <v>pH Analyser  · pH 0–14 (control 0.3)</v>
      </c>
      <c r="C277" s="28" t="n">
        <v>1</v>
      </c>
      <c r="D277" s="36" t="n">
        <v>1300</v>
      </c>
      <c r="E277" s="36" t="n">
        <v>1300</v>
      </c>
      <c r="F277" s="11" t="s">
        <v>436</v>
      </c>
      <c r="G277" s="15" t="s">
        <v>437</v>
      </c>
      <c r="H277" s="15" t="s">
        <v>847</v>
      </c>
      <c r="I277" s="11" t="n">
        <v>5</v>
      </c>
      <c r="J277" s="11" t="s">
        <v>432</v>
      </c>
      <c r="K277" s="15" t="s">
        <v>872</v>
      </c>
      <c r="L277" s="15" t="s">
        <v>425</v>
      </c>
      <c r="M277" s="15" t="s">
        <v>866</v>
      </c>
      <c r="N277" s="68" t="s">
        <v>873</v>
      </c>
      <c r="O277" s="69" t="str">
        <f aca="false">IF(AND(LEN(TRIM($B277&amp;""))&gt;0,ISNUMBER($C277),$C277&gt;0,ISNUMBER($D277),$D277&gt;0,ISNUMBER($E277),$E277&gt;0,ABS($E277-$C277*$D277)&lt;=MAX(1,0.005*ABS($E277)),LEN(TRIM($M277&amp;""))&gt;0,TRIM($M277&amp;"")&lt;&gt;"—",LEN(TRIM($P277&amp;""))=0),"PASS","FAIL — "&amp;IF(LEN(TRIM($P277&amp;""))&gt;0,TRIM($P277&amp;""),"line ≠ qty×unit, a required cell empty, or qty/£ non-positive"))</f>
        <v>PASS</v>
      </c>
      <c r="P277" s="70"/>
      <c r="Q277" s="16" t="str">
        <f aca="false">IF(AND(LEN(TRIM(A277&amp;""))&gt;0,TRIM(A277&amp;"")&lt;&gt;"—",LEN(TRIM(B277&amp;""))&gt;0,TRIM(B277&amp;"")&lt;&gt;"—",LEN(TRIM(C277&amp;""))&gt;0,TRIM(C277&amp;"")&lt;&gt;"—",ISNUMBER(C277),LEN(TRIM(D277&amp;""))&gt;0,TRIM(D277&amp;"")&lt;&gt;"—",ISNUMBER(D277),LEN(TRIM(E277&amp;""))&gt;0,TRIM(E277&amp;"")&lt;&gt;"—",ISNUMBER(E277),LEN(TRIM(F277&amp;""))&gt;0,TRIM(F277&amp;"")&lt;&gt;"—",LEN(TRIM(I277&amp;""))&gt;0,TRIM(I277&amp;"")&lt;&gt;"—",LEN(TRIM(J277&amp;""))&gt;0,TRIM(J277&amp;"")&lt;&gt;"—",LEN(TRIM(O277&amp;""))&gt;0,TRIM(O277&amp;"")&lt;&gt;"—"),"PASS","⚠ FAIL — "&amp;"a required cell is empty/placeholder or wrong type")</f>
        <v>PASS</v>
      </c>
    </row>
    <row r="278" customFormat="false" ht="64.15" hidden="false" customHeight="false" outlineLevel="0" collapsed="false">
      <c r="A278" s="11" t="str">
        <f aca="false">'Part names'!$A$79</f>
        <v>PT-201–217</v>
      </c>
      <c r="B278" s="68" t="str">
        <f aca="false">'Part names'!$B$79 &amp; "  · 0–5 bar"</f>
        <v>Pressure Transmitter  · 0–5 bar</v>
      </c>
      <c r="C278" s="28" t="n">
        <v>17</v>
      </c>
      <c r="D278" s="36" t="n">
        <v>700</v>
      </c>
      <c r="E278" s="36" t="n">
        <v>11900</v>
      </c>
      <c r="F278" s="11" t="s">
        <v>421</v>
      </c>
      <c r="G278" s="15" t="s">
        <v>874</v>
      </c>
      <c r="H278" s="15" t="s">
        <v>860</v>
      </c>
      <c r="I278" s="11" t="n">
        <v>2</v>
      </c>
      <c r="J278" s="11" t="s">
        <v>423</v>
      </c>
      <c r="K278" s="15" t="s">
        <v>875</v>
      </c>
      <c r="L278" s="15" t="s">
        <v>425</v>
      </c>
      <c r="M278" s="15" t="s">
        <v>876</v>
      </c>
      <c r="N278" s="68" t="s">
        <v>877</v>
      </c>
      <c r="O278" s="69" t="str">
        <f aca="false">IF(AND(LEN(TRIM($B278&amp;""))&gt;0,ISNUMBER($C278),$C278&gt;0,ISNUMBER($D278),$D278&gt;0,ISNUMBER($E278),$E278&gt;0,ABS($E278-$C278*$D278)&lt;=MAX(1,0.005*ABS($E278)),LEN(TRIM($M278&amp;""))&gt;0,TRIM($M278&amp;"")&lt;&gt;"—",LEN(TRIM($P278&amp;""))=0),"PASS","FAIL — "&amp;IF(LEN(TRIM($P278&amp;""))&gt;0,TRIM($P278&amp;""),"line ≠ qty×unit, a required cell empty, or qty/£ non-positive"))</f>
        <v>PASS</v>
      </c>
      <c r="P278" s="70"/>
      <c r="Q278" s="16" t="str">
        <f aca="false">IF(AND(LEN(TRIM(A278&amp;""))&gt;0,TRIM(A278&amp;"")&lt;&gt;"—",LEN(TRIM(B278&amp;""))&gt;0,TRIM(B278&amp;"")&lt;&gt;"—",LEN(TRIM(C278&amp;""))&gt;0,TRIM(C278&amp;"")&lt;&gt;"—",ISNUMBER(C278),LEN(TRIM(D278&amp;""))&gt;0,TRIM(D278&amp;"")&lt;&gt;"—",ISNUMBER(D278),LEN(TRIM(E278&amp;""))&gt;0,TRIM(E278&amp;"")&lt;&gt;"—",ISNUMBER(E278),LEN(TRIM(F278&amp;""))&gt;0,TRIM(F278&amp;"")&lt;&gt;"—",LEN(TRIM(I278&amp;""))&gt;0,TRIM(I278&amp;"")&lt;&gt;"—",LEN(TRIM(J278&amp;""))&gt;0,TRIM(J278&amp;"")&lt;&gt;"—",LEN(TRIM(O278&amp;""))&gt;0,TRIM(O278&amp;"")&lt;&gt;"—"),"PASS","⚠ FAIL — "&amp;"a required cell is empty/placeholder or wrong type")</f>
        <v>PASS</v>
      </c>
    </row>
    <row r="279" customFormat="false" ht="32.8" hidden="false" customHeight="false" outlineLevel="0" collapsed="false">
      <c r="A279" s="11" t="str">
        <f aca="false">'Part names'!$A$86</f>
        <v>I-108</v>
      </c>
      <c r="B279" s="68" t="str">
        <f aca="false">'Part names'!$B$86</f>
        <v>Silica Analyzer</v>
      </c>
      <c r="C279" s="28" t="n">
        <v>1</v>
      </c>
      <c r="D279" s="36" t="n">
        <v>280</v>
      </c>
      <c r="E279" s="36" t="n">
        <v>280</v>
      </c>
      <c r="F279" s="11" t="s">
        <v>429</v>
      </c>
      <c r="G279" s="15" t="s">
        <v>469</v>
      </c>
      <c r="H279" s="15" t="s">
        <v>421</v>
      </c>
      <c r="I279" s="11" t="n">
        <v>4</v>
      </c>
      <c r="J279" s="11" t="s">
        <v>432</v>
      </c>
      <c r="K279" s="15" t="s">
        <v>878</v>
      </c>
      <c r="L279" s="15" t="s">
        <v>425</v>
      </c>
      <c r="M279" s="15" t="s">
        <v>421</v>
      </c>
      <c r="N279" s="68" t="s">
        <v>879</v>
      </c>
      <c r="O279" s="69" t="str">
        <f aca="false">IF(AND(LEN(TRIM($B279&amp;""))&gt;0,ISNUMBER($C279),$C279&gt;0,ISNUMBER($D279),$D279&gt;0,ISNUMBER($E279),$E279&gt;0,ABS($E279-$C279*$D279)&lt;=MAX(1,0.005*ABS($E279)),LEN(TRIM($M279&amp;""))&gt;0,TRIM($M279&amp;"")&lt;&gt;"—",LEN(TRIM($P279&amp;""))=0),"PASS","FAIL — "&amp;IF(LEN(TRIM($P279&amp;""))&gt;0,TRIM($P279&amp;""),"line ≠ qty×unit, a required cell empty, or qty/£ non-positive"))</f>
        <v>PASS</v>
      </c>
      <c r="P279" s="70"/>
      <c r="Q279" s="16" t="str">
        <f aca="false">IF(AND(LEN(TRIM(A279&amp;""))&gt;0,TRIM(A279&amp;"")&lt;&gt;"—",LEN(TRIM(B279&amp;""))&gt;0,TRIM(B279&amp;"")&lt;&gt;"—",LEN(TRIM(C279&amp;""))&gt;0,TRIM(C279&amp;"")&lt;&gt;"—",ISNUMBER(C279),LEN(TRIM(D279&amp;""))&gt;0,TRIM(D279&amp;"")&lt;&gt;"—",ISNUMBER(D279),LEN(TRIM(E279&amp;""))&gt;0,TRIM(E279&amp;"")&lt;&gt;"—",ISNUMBER(E279),LEN(TRIM(F279&amp;""))&gt;0,TRIM(F279&amp;"")&lt;&gt;"—",LEN(TRIM(I279&amp;""))&gt;0,TRIM(I279&amp;"")&lt;&gt;"—",LEN(TRIM(J279&amp;""))&gt;0,TRIM(J279&amp;"")&lt;&gt;"—",LEN(TRIM(O279&amp;""))&gt;0,TRIM(O279&amp;"")&lt;&gt;"—"),"PASS","⚠ FAIL — "&amp;"a required cell is empty/placeholder or wrong type")</f>
        <v>PASS</v>
      </c>
    </row>
    <row r="280" customFormat="false" ht="32.8" hidden="false" customHeight="false" outlineLevel="0" collapsed="false">
      <c r="A280" s="11" t="str">
        <f aca="false">'Part names'!$A$11</f>
        <v>I-109</v>
      </c>
      <c r="B280" s="68" t="str">
        <f aca="false">'Part names'!$B$11</f>
        <v>Chlorine Sensor</v>
      </c>
      <c r="C280" s="28" t="n">
        <v>1</v>
      </c>
      <c r="D280" s="36" t="n">
        <v>80</v>
      </c>
      <c r="E280" s="36" t="n">
        <v>80</v>
      </c>
      <c r="F280" s="11" t="s">
        <v>429</v>
      </c>
      <c r="G280" s="15" t="s">
        <v>469</v>
      </c>
      <c r="H280" s="15" t="s">
        <v>438</v>
      </c>
      <c r="I280" s="11" t="n">
        <v>4</v>
      </c>
      <c r="J280" s="11" t="s">
        <v>432</v>
      </c>
      <c r="K280" s="15" t="s">
        <v>880</v>
      </c>
      <c r="L280" s="15" t="s">
        <v>425</v>
      </c>
      <c r="M280" s="15" t="s">
        <v>445</v>
      </c>
      <c r="N280" s="71" t="s">
        <v>435</v>
      </c>
      <c r="O280" s="69" t="str">
        <f aca="false">IF(AND(LEN(TRIM($B280&amp;""))&gt;0,ISNUMBER($C280),$C280&gt;0,ISNUMBER($D280),$D280&gt;0,ISNUMBER($E280),$E280&gt;0,ABS($E280-$C280*$D280)&lt;=MAX(1,0.005*ABS($E280)),LEN(TRIM($M280&amp;""))&gt;0,TRIM($M280&amp;"")&lt;&gt;"—",LEN(TRIM($P280&amp;""))=0),"PASS","FAIL — "&amp;IF(LEN(TRIM($P280&amp;""))&gt;0,TRIM($P280&amp;""),"line ≠ qty×unit, a required cell empty, or qty/£ non-positive"))</f>
        <v>PASS</v>
      </c>
      <c r="P280" s="70"/>
      <c r="Q280" s="16" t="str">
        <f aca="false">IF(AND(LEN(TRIM(A280&amp;""))&gt;0,TRIM(A280&amp;"")&lt;&gt;"—",LEN(TRIM(B280&amp;""))&gt;0,TRIM(B280&amp;"")&lt;&gt;"—",LEN(TRIM(C280&amp;""))&gt;0,TRIM(C280&amp;"")&lt;&gt;"—",ISNUMBER(C280),LEN(TRIM(D280&amp;""))&gt;0,TRIM(D280&amp;"")&lt;&gt;"—",ISNUMBER(D280),LEN(TRIM(E280&amp;""))&gt;0,TRIM(E280&amp;"")&lt;&gt;"—",ISNUMBER(E280),LEN(TRIM(F280&amp;""))&gt;0,TRIM(F280&amp;"")&lt;&gt;"—",LEN(TRIM(I280&amp;""))&gt;0,TRIM(I280&amp;"")&lt;&gt;"—",LEN(TRIM(J280&amp;""))&gt;0,TRIM(J280&amp;"")&lt;&gt;"—",LEN(TRIM(O280&amp;""))&gt;0,TRIM(O280&amp;"")&lt;&gt;"—"),"PASS","⚠ FAIL — "&amp;"a required cell is empty/placeholder or wrong type")</f>
        <v>PASS</v>
      </c>
    </row>
    <row r="281" customFormat="false" ht="32.8" hidden="false" customHeight="false" outlineLevel="0" collapsed="false">
      <c r="A281" s="11" t="str">
        <f aca="false">'Part names'!$A$92</f>
        <v>I-110</v>
      </c>
      <c r="B281" s="68" t="str">
        <f aca="false">'Part names'!$B$92</f>
        <v>Tds Sensor</v>
      </c>
      <c r="C281" s="28" t="n">
        <v>1</v>
      </c>
      <c r="D281" s="36" t="n">
        <v>30</v>
      </c>
      <c r="E281" s="36" t="n">
        <v>30</v>
      </c>
      <c r="F281" s="11" t="s">
        <v>429</v>
      </c>
      <c r="G281" s="15" t="s">
        <v>469</v>
      </c>
      <c r="H281" s="15" t="s">
        <v>438</v>
      </c>
      <c r="I281" s="11" t="n">
        <v>4</v>
      </c>
      <c r="J281" s="11" t="s">
        <v>432</v>
      </c>
      <c r="K281" s="15" t="s">
        <v>881</v>
      </c>
      <c r="L281" s="15" t="s">
        <v>425</v>
      </c>
      <c r="M281" s="15" t="s">
        <v>445</v>
      </c>
      <c r="N281" s="71" t="s">
        <v>435</v>
      </c>
      <c r="O281" s="69" t="str">
        <f aca="false">IF(AND(LEN(TRIM($B281&amp;""))&gt;0,ISNUMBER($C281),$C281&gt;0,ISNUMBER($D281),$D281&gt;0,ISNUMBER($E281),$E281&gt;0,ABS($E281-$C281*$D281)&lt;=MAX(1,0.005*ABS($E281)),LEN(TRIM($M281&amp;""))&gt;0,TRIM($M281&amp;"")&lt;&gt;"—",LEN(TRIM($P281&amp;""))=0),"PASS","FAIL — "&amp;IF(LEN(TRIM($P281&amp;""))&gt;0,TRIM($P281&amp;""),"line ≠ qty×unit, a required cell empty, or qty/£ non-positive"))</f>
        <v>PASS</v>
      </c>
      <c r="P281" s="70"/>
      <c r="Q281" s="16" t="str">
        <f aca="false">IF(AND(LEN(TRIM(A281&amp;""))&gt;0,TRIM(A281&amp;"")&lt;&gt;"—",LEN(TRIM(B281&amp;""))&gt;0,TRIM(B281&amp;"")&lt;&gt;"—",LEN(TRIM(C281&amp;""))&gt;0,TRIM(C281&amp;"")&lt;&gt;"—",ISNUMBER(C281),LEN(TRIM(D281&amp;""))&gt;0,TRIM(D281&amp;"")&lt;&gt;"—",ISNUMBER(D281),LEN(TRIM(E281&amp;""))&gt;0,TRIM(E281&amp;"")&lt;&gt;"—",ISNUMBER(E281),LEN(TRIM(F281&amp;""))&gt;0,TRIM(F281&amp;"")&lt;&gt;"—",LEN(TRIM(I281&amp;""))&gt;0,TRIM(I281&amp;"")&lt;&gt;"—",LEN(TRIM(J281&amp;""))&gt;0,TRIM(J281&amp;"")&lt;&gt;"—",LEN(TRIM(O281&amp;""))&gt;0,TRIM(O281&amp;"")&lt;&gt;"—"),"PASS","⚠ FAIL — "&amp;"a required cell is empty/placeholder or wrong type")</f>
        <v>PASS</v>
      </c>
    </row>
    <row r="282" customFormat="false" ht="35.05" hidden="false" customHeight="false" outlineLevel="0" collapsed="false">
      <c r="A282" s="11" t="str">
        <f aca="false">'Part names'!$A$54</f>
        <v>EP-102</v>
      </c>
      <c r="B282" s="68" t="str">
        <f aca="false">'Part names'!$B$54 &amp; "  · 125 A · 400 V 3-phase LV incomer · 125 A ACB frame (sized to 53 kW connected load, PF 0.9, 25% margin)"</f>
        <v>Mains Incomer  · 125 A · 400 V 3-phase LV incomer · 125 A ACB frame (sized to 53 kW connected load, PF 0.9, 25% margin)</v>
      </c>
      <c r="C282" s="28" t="n">
        <v>1</v>
      </c>
      <c r="D282" s="36" t="n">
        <v>3</v>
      </c>
      <c r="E282" s="36" t="n">
        <v>3</v>
      </c>
      <c r="F282" s="11" t="s">
        <v>429</v>
      </c>
      <c r="G282" s="15" t="s">
        <v>469</v>
      </c>
      <c r="H282" s="15" t="s">
        <v>438</v>
      </c>
      <c r="I282" s="11" t="n">
        <v>4</v>
      </c>
      <c r="J282" s="11" t="s">
        <v>432</v>
      </c>
      <c r="K282" s="15" t="s">
        <v>882</v>
      </c>
      <c r="L282" s="15" t="s">
        <v>425</v>
      </c>
      <c r="M282" s="15" t="s">
        <v>445</v>
      </c>
      <c r="N282" s="71" t="s">
        <v>435</v>
      </c>
      <c r="O282" s="69" t="str">
        <f aca="false">IF(AND(LEN(TRIM($B282&amp;""))&gt;0,ISNUMBER($C282),$C282&gt;0,ISNUMBER($D282),$D282&gt;0,ISNUMBER($E282),$E282&gt;0,ABS($E282-$C282*$D282)&lt;=MAX(1,0.005*ABS($E282)),LEN(TRIM($M282&amp;""))&gt;0,TRIM($M282&amp;"")&lt;&gt;"—",LEN(TRIM($P282&amp;""))=0),"PASS","FAIL — "&amp;IF(LEN(TRIM($P282&amp;""))&gt;0,TRIM($P282&amp;""),"line ≠ qty×unit, a required cell empty, or qty/£ non-positive"))</f>
        <v>PASS</v>
      </c>
      <c r="P282" s="70"/>
      <c r="Q282" s="16" t="str">
        <f aca="false">IF(AND(LEN(TRIM(A282&amp;""))&gt;0,TRIM(A282&amp;"")&lt;&gt;"—",LEN(TRIM(B282&amp;""))&gt;0,TRIM(B282&amp;"")&lt;&gt;"—",LEN(TRIM(C282&amp;""))&gt;0,TRIM(C282&amp;"")&lt;&gt;"—",ISNUMBER(C282),LEN(TRIM(D282&amp;""))&gt;0,TRIM(D282&amp;"")&lt;&gt;"—",ISNUMBER(D282),LEN(TRIM(E282&amp;""))&gt;0,TRIM(E282&amp;"")&lt;&gt;"—",ISNUMBER(E282),LEN(TRIM(F282&amp;""))&gt;0,TRIM(F282&amp;"")&lt;&gt;"—",LEN(TRIM(I282&amp;""))&gt;0,TRIM(I282&amp;"")&lt;&gt;"—",LEN(TRIM(J282&amp;""))&gt;0,TRIM(J282&amp;"")&lt;&gt;"—",LEN(TRIM(O282&amp;""))&gt;0,TRIM(O282&amp;"")&lt;&gt;"—"),"PASS","⚠ FAIL — "&amp;"a required cell is empty/placeholder or wrong type")</f>
        <v>PASS</v>
      </c>
    </row>
    <row r="283" customFormat="false" ht="35.05" hidden="false" customHeight="false" outlineLevel="0" collapsed="false">
      <c r="A283" s="11" t="str">
        <f aca="false">'Part names'!$A$53</f>
        <v>EP-101</v>
      </c>
      <c r="B283" s="68" t="str">
        <f aca="false">'Part names'!$B$53 &amp; "  · 125 A · 400 V 3-phase LV incomer · 125 A ACB frame (sized to 53 kW connected load, PF 0.9, 25% margin)"</f>
        <v>Main Switchboard  · 125 A · 400 V 3-phase LV incomer · 125 A ACB frame (sized to 53 kW connected load, PF 0.9, 25% margin)</v>
      </c>
      <c r="C283" s="28" t="n">
        <v>1</v>
      </c>
      <c r="D283" s="36" t="n">
        <v>3000</v>
      </c>
      <c r="E283" s="36" t="n">
        <v>3000</v>
      </c>
      <c r="F283" s="11" t="s">
        <v>429</v>
      </c>
      <c r="G283" s="15" t="s">
        <v>469</v>
      </c>
      <c r="H283" s="15" t="s">
        <v>462</v>
      </c>
      <c r="I283" s="11" t="n">
        <v>4</v>
      </c>
      <c r="J283" s="11" t="s">
        <v>453</v>
      </c>
      <c r="K283" s="15" t="s">
        <v>883</v>
      </c>
      <c r="L283" s="15" t="s">
        <v>425</v>
      </c>
      <c r="M283" s="15" t="s">
        <v>464</v>
      </c>
      <c r="N283" s="71" t="s">
        <v>435</v>
      </c>
      <c r="O283" s="69" t="str">
        <f aca="false">IF(AND(LEN(TRIM($B283&amp;""))&gt;0,ISNUMBER($C283),$C283&gt;0,ISNUMBER($D283),$D283&gt;0,ISNUMBER($E283),$E283&gt;0,ABS($E283-$C283*$D283)&lt;=MAX(1,0.005*ABS($E283)),LEN(TRIM($M283&amp;""))&gt;0,TRIM($M283&amp;"")&lt;&gt;"—",LEN(TRIM($P283&amp;""))=0),"PASS","FAIL — "&amp;IF(LEN(TRIM($P283&amp;""))&gt;0,TRIM($P283&amp;""),"line ≠ qty×unit, a required cell empty, or qty/£ non-positive"))</f>
        <v>PASS</v>
      </c>
      <c r="P283" s="70"/>
      <c r="Q283" s="16" t="str">
        <f aca="false">IF(AND(LEN(TRIM(A283&amp;""))&gt;0,TRIM(A283&amp;"")&lt;&gt;"—",LEN(TRIM(B283&amp;""))&gt;0,TRIM(B283&amp;"")&lt;&gt;"—",LEN(TRIM(C283&amp;""))&gt;0,TRIM(C283&amp;"")&lt;&gt;"—",ISNUMBER(C283),LEN(TRIM(D283&amp;""))&gt;0,TRIM(D283&amp;"")&lt;&gt;"—",ISNUMBER(D283),LEN(TRIM(E283&amp;""))&gt;0,TRIM(E283&amp;"")&lt;&gt;"—",ISNUMBER(E283),LEN(TRIM(F283&amp;""))&gt;0,TRIM(F283&amp;"")&lt;&gt;"—",LEN(TRIM(I283&amp;""))&gt;0,TRIM(I283&amp;"")&lt;&gt;"—",LEN(TRIM(J283&amp;""))&gt;0,TRIM(J283&amp;"")&lt;&gt;"—",LEN(TRIM(O283&amp;""))&gt;0,TRIM(O283&amp;"")&lt;&gt;"—"),"PASS","⚠ FAIL — "&amp;"a required cell is empty/placeholder or wrong type")</f>
        <v>PASS</v>
      </c>
    </row>
    <row r="284" customFormat="false" ht="32.8" hidden="false" customHeight="false" outlineLevel="0" collapsed="false">
      <c r="A284" s="11" t="str">
        <f aca="false">'Part names'!$A$77</f>
        <v>X-132</v>
      </c>
      <c r="B284" s="68" t="str">
        <f aca="false">'Part names'!$B$77</f>
        <v>Power Supply Unit</v>
      </c>
      <c r="C284" s="28" t="n">
        <v>1</v>
      </c>
      <c r="D284" s="36" t="n">
        <v>218</v>
      </c>
      <c r="E284" s="36" t="n">
        <v>218</v>
      </c>
      <c r="F284" s="11" t="s">
        <v>429</v>
      </c>
      <c r="G284" s="15" t="s">
        <v>469</v>
      </c>
      <c r="H284" s="15" t="s">
        <v>438</v>
      </c>
      <c r="I284" s="11" t="n">
        <v>4</v>
      </c>
      <c r="J284" s="11" t="s">
        <v>453</v>
      </c>
      <c r="K284" s="15" t="s">
        <v>884</v>
      </c>
      <c r="L284" s="15" t="s">
        <v>425</v>
      </c>
      <c r="M284" s="15" t="s">
        <v>445</v>
      </c>
      <c r="N284" s="71" t="s">
        <v>435</v>
      </c>
      <c r="O284" s="69" t="str">
        <f aca="false">IF(AND(LEN(TRIM($B284&amp;""))&gt;0,ISNUMBER($C284),$C284&gt;0,ISNUMBER($D284),$D284&gt;0,ISNUMBER($E284),$E284&gt;0,ABS($E284-$C284*$D284)&lt;=MAX(1,0.005*ABS($E284)),LEN(TRIM($M284&amp;""))&gt;0,TRIM($M284&amp;"")&lt;&gt;"—",LEN(TRIM($P284&amp;""))=0),"PASS","FAIL — "&amp;IF(LEN(TRIM($P284&amp;""))&gt;0,TRIM($P284&amp;""),"line ≠ qty×unit, a required cell empty, or qty/£ non-positive"))</f>
        <v>PASS</v>
      </c>
      <c r="P284" s="70"/>
      <c r="Q284" s="16" t="str">
        <f aca="false">IF(AND(LEN(TRIM(A284&amp;""))&gt;0,TRIM(A284&amp;"")&lt;&gt;"—",LEN(TRIM(B284&amp;""))&gt;0,TRIM(B284&amp;"")&lt;&gt;"—",LEN(TRIM(C284&amp;""))&gt;0,TRIM(C284&amp;"")&lt;&gt;"—",ISNUMBER(C284),LEN(TRIM(D284&amp;""))&gt;0,TRIM(D284&amp;"")&lt;&gt;"—",ISNUMBER(D284),LEN(TRIM(E284&amp;""))&gt;0,TRIM(E284&amp;"")&lt;&gt;"—",ISNUMBER(E284),LEN(TRIM(F284&amp;""))&gt;0,TRIM(F284&amp;"")&lt;&gt;"—",LEN(TRIM(I284&amp;""))&gt;0,TRIM(I284&amp;"")&lt;&gt;"—",LEN(TRIM(J284&amp;""))&gt;0,TRIM(J284&amp;"")&lt;&gt;"—",LEN(TRIM(O284&amp;""))&gt;0,TRIM(O284&amp;"")&lt;&gt;"—"),"PASS","⚠ FAIL — "&amp;"a required cell is empty/placeholder or wrong type")</f>
        <v>PASS</v>
      </c>
    </row>
    <row r="285" customFormat="false" ht="32.8" hidden="false" customHeight="false" outlineLevel="0" collapsed="false">
      <c r="A285" s="11" t="str">
        <f aca="false">'Part names'!$A$91</f>
        <v>X-133</v>
      </c>
      <c r="B285" s="68" t="str">
        <f aca="false">'Part names'!$B$91</f>
        <v>Surge Protection Device</v>
      </c>
      <c r="C285" s="28" t="n">
        <v>1</v>
      </c>
      <c r="D285" s="36" t="n">
        <v>250</v>
      </c>
      <c r="E285" s="36" t="n">
        <v>250</v>
      </c>
      <c r="F285" s="11" t="s">
        <v>421</v>
      </c>
      <c r="G285" s="15" t="s">
        <v>422</v>
      </c>
      <c r="H285" s="15" t="s">
        <v>421</v>
      </c>
      <c r="I285" s="11" t="n">
        <v>2</v>
      </c>
      <c r="J285" s="11" t="s">
        <v>423</v>
      </c>
      <c r="K285" s="15" t="s">
        <v>885</v>
      </c>
      <c r="L285" s="15" t="s">
        <v>425</v>
      </c>
      <c r="M285" s="15" t="s">
        <v>421</v>
      </c>
      <c r="N285" s="68" t="s">
        <v>886</v>
      </c>
      <c r="O285" s="69" t="str">
        <f aca="false">IF(AND(LEN(TRIM($B285&amp;""))&gt;0,ISNUMBER($C285),$C285&gt;0,ISNUMBER($D285),$D285&gt;0,ISNUMBER($E285),$E285&gt;0,ABS($E285-$C285*$D285)&lt;=MAX(1,0.005*ABS($E285)),LEN(TRIM($M285&amp;""))&gt;0,TRIM($M285&amp;"")&lt;&gt;"—",LEN(TRIM($P285&amp;""))=0),"PASS","FAIL — "&amp;IF(LEN(TRIM($P285&amp;""))&gt;0,TRIM($P285&amp;""),"line ≠ qty×unit, a required cell empty, or qty/£ non-positive"))</f>
        <v>PASS</v>
      </c>
      <c r="P285" s="70"/>
      <c r="Q285" s="16" t="str">
        <f aca="false">IF(AND(LEN(TRIM(A285&amp;""))&gt;0,TRIM(A285&amp;"")&lt;&gt;"—",LEN(TRIM(B285&amp;""))&gt;0,TRIM(B285&amp;"")&lt;&gt;"—",LEN(TRIM(C285&amp;""))&gt;0,TRIM(C285&amp;"")&lt;&gt;"—",ISNUMBER(C285),LEN(TRIM(D285&amp;""))&gt;0,TRIM(D285&amp;"")&lt;&gt;"—",ISNUMBER(D285),LEN(TRIM(E285&amp;""))&gt;0,TRIM(E285&amp;"")&lt;&gt;"—",ISNUMBER(E285),LEN(TRIM(F285&amp;""))&gt;0,TRIM(F285&amp;"")&lt;&gt;"—",LEN(TRIM(I285&amp;""))&gt;0,TRIM(I285&amp;"")&lt;&gt;"—",LEN(TRIM(J285&amp;""))&gt;0,TRIM(J285&amp;"")&lt;&gt;"—",LEN(TRIM(O285&amp;""))&gt;0,TRIM(O285&amp;"")&lt;&gt;"—"),"PASS","⚠ FAIL — "&amp;"a required cell is empty/placeholder or wrong type")</f>
        <v>PASS</v>
      </c>
    </row>
    <row r="286" customFormat="false" ht="32.8" hidden="false" customHeight="false" outlineLevel="0" collapsed="false">
      <c r="A286" s="11" t="str">
        <f aca="false">'Part names'!$A$69</f>
        <v>X-104</v>
      </c>
      <c r="B286" s="68" t="str">
        <f aca="false">'Part names'!$B$69</f>
        <v>Permeate Outlet</v>
      </c>
      <c r="C286" s="28" t="n">
        <v>1</v>
      </c>
      <c r="D286" s="36" t="n">
        <v>9</v>
      </c>
      <c r="E286" s="36" t="n">
        <v>9</v>
      </c>
      <c r="F286" s="11" t="s">
        <v>436</v>
      </c>
      <c r="G286" s="15" t="s">
        <v>437</v>
      </c>
      <c r="H286" s="15" t="s">
        <v>438</v>
      </c>
      <c r="I286" s="11" t="n">
        <v>5</v>
      </c>
      <c r="J286" s="11" t="s">
        <v>432</v>
      </c>
      <c r="K286" s="15" t="s">
        <v>887</v>
      </c>
      <c r="L286" s="15" t="s">
        <v>425</v>
      </c>
      <c r="M286" s="15" t="s">
        <v>445</v>
      </c>
      <c r="N286" s="15" t="s">
        <v>441</v>
      </c>
      <c r="O286" s="69" t="str">
        <f aca="false">IF(AND(LEN(TRIM($B286&amp;""))&gt;0,ISNUMBER($C286),$C286&gt;0,ISNUMBER($D286),$D286&gt;0,ISNUMBER($E286),$E286&gt;0,ABS($E286-$C286*$D286)&lt;=MAX(1,0.005*ABS($E286)),LEN(TRIM($M286&amp;""))&gt;0,TRIM($M286&amp;"")&lt;&gt;"—",LEN(TRIM($P286&amp;""))=0),"PASS","FAIL — "&amp;IF(LEN(TRIM($P286&amp;""))&gt;0,TRIM($P286&amp;""),"line ≠ qty×unit, a required cell empty, or qty/£ non-positive"))</f>
        <v>PASS</v>
      </c>
      <c r="P286" s="70"/>
      <c r="Q286" s="16" t="str">
        <f aca="false">IF(AND(LEN(TRIM(A286&amp;""))&gt;0,TRIM(A286&amp;"")&lt;&gt;"—",LEN(TRIM(B286&amp;""))&gt;0,TRIM(B286&amp;"")&lt;&gt;"—",LEN(TRIM(C286&amp;""))&gt;0,TRIM(C286&amp;"")&lt;&gt;"—",ISNUMBER(C286),LEN(TRIM(D286&amp;""))&gt;0,TRIM(D286&amp;"")&lt;&gt;"—",ISNUMBER(D286),LEN(TRIM(E286&amp;""))&gt;0,TRIM(E286&amp;"")&lt;&gt;"—",ISNUMBER(E286),LEN(TRIM(F286&amp;""))&gt;0,TRIM(F286&amp;"")&lt;&gt;"—",LEN(TRIM(I286&amp;""))&gt;0,TRIM(I286&amp;"")&lt;&gt;"—",LEN(TRIM(J286&amp;""))&gt;0,TRIM(J286&amp;"")&lt;&gt;"—",LEN(TRIM(O286&amp;""))&gt;0,TRIM(O286&amp;"")&lt;&gt;"—"),"PASS","⚠ FAIL — "&amp;"a required cell is empty/placeholder or wrong type")</f>
        <v>PASS</v>
      </c>
    </row>
    <row r="287" customFormat="false" ht="32.8" hidden="false" customHeight="false" outlineLevel="0" collapsed="false">
      <c r="A287" s="11" t="str">
        <f aca="false">'Part names'!$A$18</f>
        <v>X-103</v>
      </c>
      <c r="B287" s="68" t="str">
        <f aca="false">'Part names'!$B$18</f>
        <v>Concentrate Outlet</v>
      </c>
      <c r="C287" s="28" t="n">
        <v>1</v>
      </c>
      <c r="D287" s="36" t="n">
        <v>9</v>
      </c>
      <c r="E287" s="36" t="n">
        <v>9</v>
      </c>
      <c r="F287" s="11" t="s">
        <v>436</v>
      </c>
      <c r="G287" s="15" t="s">
        <v>437</v>
      </c>
      <c r="H287" s="15" t="s">
        <v>438</v>
      </c>
      <c r="I287" s="11" t="n">
        <v>5</v>
      </c>
      <c r="J287" s="11" t="s">
        <v>432</v>
      </c>
      <c r="K287" s="15" t="s">
        <v>888</v>
      </c>
      <c r="L287" s="15" t="s">
        <v>425</v>
      </c>
      <c r="M287" s="15" t="s">
        <v>445</v>
      </c>
      <c r="N287" s="15" t="s">
        <v>441</v>
      </c>
      <c r="O287" s="69" t="str">
        <f aca="false">IF(AND(LEN(TRIM($B287&amp;""))&gt;0,ISNUMBER($C287),$C287&gt;0,ISNUMBER($D287),$D287&gt;0,ISNUMBER($E287),$E287&gt;0,ABS($E287-$C287*$D287)&lt;=MAX(1,0.005*ABS($E287)),LEN(TRIM($M287&amp;""))&gt;0,TRIM($M287&amp;"")&lt;&gt;"—",LEN(TRIM($P287&amp;""))=0),"PASS","FAIL — "&amp;IF(LEN(TRIM($P287&amp;""))&gt;0,TRIM($P287&amp;""),"line ≠ qty×unit, a required cell empty, or qty/£ non-positive"))</f>
        <v>PASS</v>
      </c>
      <c r="P287" s="70"/>
      <c r="Q287" s="16" t="str">
        <f aca="false">IF(AND(LEN(TRIM(A287&amp;""))&gt;0,TRIM(A287&amp;"")&lt;&gt;"—",LEN(TRIM(B287&amp;""))&gt;0,TRIM(B287&amp;"")&lt;&gt;"—",LEN(TRIM(C287&amp;""))&gt;0,TRIM(C287&amp;"")&lt;&gt;"—",ISNUMBER(C287),LEN(TRIM(D287&amp;""))&gt;0,TRIM(D287&amp;"")&lt;&gt;"—",ISNUMBER(D287),LEN(TRIM(E287&amp;""))&gt;0,TRIM(E287&amp;"")&lt;&gt;"—",ISNUMBER(E287),LEN(TRIM(F287&amp;""))&gt;0,TRIM(F287&amp;"")&lt;&gt;"—",LEN(TRIM(I287&amp;""))&gt;0,TRIM(I287&amp;"")&lt;&gt;"—",LEN(TRIM(J287&amp;""))&gt;0,TRIM(J287&amp;"")&lt;&gt;"—",LEN(TRIM(O287&amp;""))&gt;0,TRIM(O287&amp;"")&lt;&gt;"—"),"PASS","⚠ FAIL — "&amp;"a required cell is empty/placeholder or wrong type")</f>
        <v>PASS</v>
      </c>
    </row>
    <row r="288" customFormat="false" ht="23.85" hidden="false" customHeight="false" outlineLevel="0" collapsed="false">
      <c r="A288" s="11" t="str">
        <f aca="false">'Part names'!$A$84</f>
        <v>X-134</v>
      </c>
      <c r="B288" s="68" t="str">
        <f aca="false">'Part names'!$B$84</f>
        <v>Sample Valves</v>
      </c>
      <c r="C288" s="28" t="n">
        <v>1</v>
      </c>
      <c r="D288" s="36" t="n">
        <v>9</v>
      </c>
      <c r="E288" s="36" t="n">
        <v>9</v>
      </c>
      <c r="F288" s="11" t="s">
        <v>436</v>
      </c>
      <c r="G288" s="15" t="s">
        <v>437</v>
      </c>
      <c r="H288" s="15" t="s">
        <v>438</v>
      </c>
      <c r="I288" s="11" t="n">
        <v>5</v>
      </c>
      <c r="J288" s="11" t="s">
        <v>432</v>
      </c>
      <c r="K288" s="15" t="s">
        <v>889</v>
      </c>
      <c r="L288" s="68" t="s">
        <v>512</v>
      </c>
      <c r="M288" s="15" t="s">
        <v>513</v>
      </c>
      <c r="N288" s="15" t="s">
        <v>441</v>
      </c>
      <c r="O288" s="69" t="str">
        <f aca="false">IF(AND(LEN(TRIM($B288&amp;""))&gt;0,ISNUMBER($C288),$C288&gt;0,ISNUMBER($D288),$D288&gt;0,ISNUMBER($E288),$E288&gt;0,ABS($E288-$C288*$D288)&lt;=MAX(1,0.005*ABS($E288)),LEN(TRIM($M288&amp;""))&gt;0,TRIM($M288&amp;"")&lt;&gt;"—",LEN(TRIM($P288&amp;""))=0),"PASS","FAIL — "&amp;IF(LEN(TRIM($P288&amp;""))&gt;0,TRIM($P288&amp;""),"line ≠ qty×unit, a required cell empty, or qty/£ non-positive"))</f>
        <v>PASS</v>
      </c>
      <c r="P288" s="70"/>
      <c r="Q288" s="16" t="str">
        <f aca="false">IF(AND(LEN(TRIM(A288&amp;""))&gt;0,TRIM(A288&amp;"")&lt;&gt;"—",LEN(TRIM(B288&amp;""))&gt;0,TRIM(B288&amp;"")&lt;&gt;"—",LEN(TRIM(C288&amp;""))&gt;0,TRIM(C288&amp;"")&lt;&gt;"—",ISNUMBER(C288),LEN(TRIM(D288&amp;""))&gt;0,TRIM(D288&amp;"")&lt;&gt;"—",ISNUMBER(D288),LEN(TRIM(E288&amp;""))&gt;0,TRIM(E288&amp;"")&lt;&gt;"—",ISNUMBER(E288),LEN(TRIM(F288&amp;""))&gt;0,TRIM(F288&amp;"")&lt;&gt;"—",LEN(TRIM(I288&amp;""))&gt;0,TRIM(I288&amp;"")&lt;&gt;"—",LEN(TRIM(J288&amp;""))&gt;0,TRIM(J288&amp;"")&lt;&gt;"—",LEN(TRIM(O288&amp;""))&gt;0,TRIM(O288&amp;"")&lt;&gt;"—"),"PASS","⚠ FAIL — "&amp;"a required cell is empty/placeholder or wrong type")</f>
        <v>PASS</v>
      </c>
    </row>
    <row r="289" customFormat="false" ht="23.85" hidden="false" customHeight="false" outlineLevel="0" collapsed="false">
      <c r="A289" s="11" t="str">
        <f aca="false">'Part names'!$A$68</f>
        <v>X-135</v>
      </c>
      <c r="B289" s="68" t="str">
        <f aca="false">'Part names'!$B$68 &amp; "  · 2.3 m dia x 2.4 m"</f>
        <v>Painted Steel Skid Frame  · 2.3 m dia x 2.4 m</v>
      </c>
      <c r="C289" s="28" t="n">
        <v>1</v>
      </c>
      <c r="D289" s="36" t="n">
        <v>40</v>
      </c>
      <c r="E289" s="36" t="n">
        <v>40</v>
      </c>
      <c r="F289" s="11" t="s">
        <v>429</v>
      </c>
      <c r="G289" s="15" t="s">
        <v>469</v>
      </c>
      <c r="H289" s="15"/>
      <c r="I289" s="11" t="n">
        <v>4</v>
      </c>
      <c r="J289" s="11" t="s">
        <v>432</v>
      </c>
      <c r="K289" s="15" t="s">
        <v>890</v>
      </c>
      <c r="L289" s="68" t="s">
        <v>891</v>
      </c>
      <c r="M289" s="15" t="s">
        <v>892</v>
      </c>
      <c r="N289" s="68" t="s">
        <v>476</v>
      </c>
      <c r="O289" s="69" t="str">
        <f aca="false">IF(AND(LEN(TRIM($B289&amp;""))&gt;0,ISNUMBER($C289),$C289&gt;0,ISNUMBER($D289),$D289&gt;0,ISNUMBER($E289),$E289&gt;0,ABS($E289-$C289*$D289)&lt;=MAX(1,0.005*ABS($E289)),LEN(TRIM($M289&amp;""))&gt;0,TRIM($M289&amp;"")&lt;&gt;"—",LEN(TRIM($P289&amp;""))=0),"PASS","FAIL — "&amp;IF(LEN(TRIM($P289&amp;""))&gt;0,TRIM($P289&amp;""),"line ≠ qty×unit, a required cell empty, or qty/£ non-positive"))</f>
        <v>PASS</v>
      </c>
      <c r="P289" s="70"/>
      <c r="Q289" s="16" t="str">
        <f aca="false">IF(AND(LEN(TRIM(A289&amp;""))&gt;0,TRIM(A289&amp;"")&lt;&gt;"—",LEN(TRIM(B289&amp;""))&gt;0,TRIM(B289&amp;"")&lt;&gt;"—",LEN(TRIM(C289&amp;""))&gt;0,TRIM(C289&amp;"")&lt;&gt;"—",ISNUMBER(C289),LEN(TRIM(D289&amp;""))&gt;0,TRIM(D289&amp;"")&lt;&gt;"—",ISNUMBER(D289),LEN(TRIM(E289&amp;""))&gt;0,TRIM(E289&amp;"")&lt;&gt;"—",ISNUMBER(E289),LEN(TRIM(F289&amp;""))&gt;0,TRIM(F289&amp;"")&lt;&gt;"—",LEN(TRIM(I289&amp;""))&gt;0,TRIM(I289&amp;"")&lt;&gt;"—",LEN(TRIM(J289&amp;""))&gt;0,TRIM(J289&amp;"")&lt;&gt;"—",LEN(TRIM(O289&amp;""))&gt;0,TRIM(O289&amp;"")&lt;&gt;"—"),"PASS","⚠ FAIL — "&amp;"a required cell is empty/placeholder or wrong type")</f>
        <v>PASS</v>
      </c>
    </row>
    <row r="290" customFormat="false" ht="23.85" hidden="false" customHeight="false" outlineLevel="0" collapsed="false">
      <c r="A290" s="11" t="str">
        <f aca="false">'Part names'!$A$89</f>
        <v>X-136</v>
      </c>
      <c r="B290" s="68" t="str">
        <f aca="false">'Part names'!$B$89 &amp; "  · 2.3 m dia x 2.4 m"</f>
        <v>Sst304 Skid Frame  · 2.3 m dia x 2.4 m</v>
      </c>
      <c r="C290" s="28" t="n">
        <v>1</v>
      </c>
      <c r="D290" s="36" t="n">
        <v>40</v>
      </c>
      <c r="E290" s="36" t="n">
        <v>40</v>
      </c>
      <c r="F290" s="11" t="s">
        <v>429</v>
      </c>
      <c r="G290" s="15" t="s">
        <v>469</v>
      </c>
      <c r="H290" s="15"/>
      <c r="I290" s="11" t="n">
        <v>4</v>
      </c>
      <c r="J290" s="11" t="s">
        <v>432</v>
      </c>
      <c r="K290" s="15" t="s">
        <v>893</v>
      </c>
      <c r="L290" s="68" t="s">
        <v>894</v>
      </c>
      <c r="M290" s="15" t="s">
        <v>892</v>
      </c>
      <c r="N290" s="68" t="s">
        <v>476</v>
      </c>
      <c r="O290" s="69" t="str">
        <f aca="false">IF(AND(LEN(TRIM($B290&amp;""))&gt;0,ISNUMBER($C290),$C290&gt;0,ISNUMBER($D290),$D290&gt;0,ISNUMBER($E290),$E290&gt;0,ABS($E290-$C290*$D290)&lt;=MAX(1,0.005*ABS($E290)),LEN(TRIM($M290&amp;""))&gt;0,TRIM($M290&amp;"")&lt;&gt;"—",LEN(TRIM($P290&amp;""))=0),"PASS","FAIL — "&amp;IF(LEN(TRIM($P290&amp;""))&gt;0,TRIM($P290&amp;""),"line ≠ qty×unit, a required cell empty, or qty/£ non-positive"))</f>
        <v>PASS</v>
      </c>
      <c r="P290" s="70"/>
      <c r="Q290" s="16" t="str">
        <f aca="false">IF(AND(LEN(TRIM(A290&amp;""))&gt;0,TRIM(A290&amp;"")&lt;&gt;"—",LEN(TRIM(B290&amp;""))&gt;0,TRIM(B290&amp;"")&lt;&gt;"—",LEN(TRIM(C290&amp;""))&gt;0,TRIM(C290&amp;"")&lt;&gt;"—",ISNUMBER(C290),LEN(TRIM(D290&amp;""))&gt;0,TRIM(D290&amp;"")&lt;&gt;"—",ISNUMBER(D290),LEN(TRIM(E290&amp;""))&gt;0,TRIM(E290&amp;"")&lt;&gt;"—",ISNUMBER(E290),LEN(TRIM(F290&amp;""))&gt;0,TRIM(F290&amp;"")&lt;&gt;"—",LEN(TRIM(I290&amp;""))&gt;0,TRIM(I290&amp;"")&lt;&gt;"—",LEN(TRIM(J290&amp;""))&gt;0,TRIM(J290&amp;"")&lt;&gt;"—",LEN(TRIM(O290&amp;""))&gt;0,TRIM(O290&amp;"")&lt;&gt;"—"),"PASS","⚠ FAIL — "&amp;"a required cell is empty/placeholder or wrong type")</f>
        <v>PASS</v>
      </c>
    </row>
    <row r="291" customFormat="false" ht="32.8" hidden="false" customHeight="false" outlineLevel="0" collapsed="false">
      <c r="A291" s="11" t="str">
        <f aca="false">'Part names'!$A$51</f>
        <v>X-137</v>
      </c>
      <c r="B291" s="68" t="str">
        <f aca="false">'Part names'!$B$51</f>
        <v>Leveling Feet</v>
      </c>
      <c r="C291" s="28" t="n">
        <v>1</v>
      </c>
      <c r="D291" s="36" t="n">
        <v>3</v>
      </c>
      <c r="E291" s="36" t="n">
        <v>3</v>
      </c>
      <c r="F291" s="11" t="s">
        <v>436</v>
      </c>
      <c r="G291" s="15" t="s">
        <v>437</v>
      </c>
      <c r="H291" s="15" t="s">
        <v>438</v>
      </c>
      <c r="I291" s="11" t="n">
        <v>5</v>
      </c>
      <c r="J291" s="11" t="s">
        <v>432</v>
      </c>
      <c r="K291" s="15" t="s">
        <v>895</v>
      </c>
      <c r="L291" s="15" t="s">
        <v>425</v>
      </c>
      <c r="M291" s="15" t="s">
        <v>896</v>
      </c>
      <c r="N291" s="15" t="s">
        <v>441</v>
      </c>
      <c r="O291" s="69" t="str">
        <f aca="false">IF(AND(LEN(TRIM($B291&amp;""))&gt;0,ISNUMBER($C291),$C291&gt;0,ISNUMBER($D291),$D291&gt;0,ISNUMBER($E291),$E291&gt;0,ABS($E291-$C291*$D291)&lt;=MAX(1,0.005*ABS($E291)),LEN(TRIM($M291&amp;""))&gt;0,TRIM($M291&amp;"")&lt;&gt;"—",LEN(TRIM($P291&amp;""))=0),"PASS","FAIL — "&amp;IF(LEN(TRIM($P291&amp;""))&gt;0,TRIM($P291&amp;""),"line ≠ qty×unit, a required cell empty, or qty/£ non-positive"))</f>
        <v>PASS</v>
      </c>
      <c r="P291" s="70"/>
      <c r="Q291" s="16" t="str">
        <f aca="false">IF(AND(LEN(TRIM(A291&amp;""))&gt;0,TRIM(A291&amp;"")&lt;&gt;"—",LEN(TRIM(B291&amp;""))&gt;0,TRIM(B291&amp;"")&lt;&gt;"—",LEN(TRIM(C291&amp;""))&gt;0,TRIM(C291&amp;"")&lt;&gt;"—",ISNUMBER(C291),LEN(TRIM(D291&amp;""))&gt;0,TRIM(D291&amp;"")&lt;&gt;"—",ISNUMBER(D291),LEN(TRIM(E291&amp;""))&gt;0,TRIM(E291&amp;"")&lt;&gt;"—",ISNUMBER(E291),LEN(TRIM(F291&amp;""))&gt;0,TRIM(F291&amp;"")&lt;&gt;"—",LEN(TRIM(I291&amp;""))&gt;0,TRIM(I291&amp;"")&lt;&gt;"—",LEN(TRIM(J291&amp;""))&gt;0,TRIM(J291&amp;"")&lt;&gt;"—",LEN(TRIM(O291&amp;""))&gt;0,TRIM(O291&amp;"")&lt;&gt;"—"),"PASS","⚠ FAIL — "&amp;"a required cell is empty/placeholder or wrong type")</f>
        <v>PASS</v>
      </c>
    </row>
    <row r="292" customFormat="false" ht="32.8" hidden="false" customHeight="false" outlineLevel="0" collapsed="false">
      <c r="A292" s="11" t="str">
        <f aca="false">'Part names'!$A$94</f>
        <v>TX-101</v>
      </c>
      <c r="B292" s="68" t="str">
        <f aca="false">'Part names'!$B$94 &amp; "  · 75 kW · 1090x927x1199 mm"</f>
        <v>Transformer  · 75 kW · 1090x927x1199 mm</v>
      </c>
      <c r="C292" s="28" t="n">
        <v>1</v>
      </c>
      <c r="D292" s="36" t="n">
        <v>3000</v>
      </c>
      <c r="E292" s="36" t="n">
        <v>3000</v>
      </c>
      <c r="F292" s="11" t="s">
        <v>436</v>
      </c>
      <c r="G292" s="15" t="s">
        <v>897</v>
      </c>
      <c r="H292" s="15" t="s">
        <v>898</v>
      </c>
      <c r="I292" s="11" t="n">
        <v>5</v>
      </c>
      <c r="J292" s="11" t="s">
        <v>432</v>
      </c>
      <c r="K292" s="15" t="s">
        <v>899</v>
      </c>
      <c r="L292" s="15" t="s">
        <v>425</v>
      </c>
      <c r="M292" s="15" t="s">
        <v>900</v>
      </c>
      <c r="N292" s="71" t="s">
        <v>435</v>
      </c>
      <c r="O292" s="69" t="str">
        <f aca="false">IF(AND(LEN(TRIM($B292&amp;""))&gt;0,ISNUMBER($C292),$C292&gt;0,ISNUMBER($D292),$D292&gt;0,ISNUMBER($E292),$E292&gt;0,ABS($E292-$C292*$D292)&lt;=MAX(1,0.005*ABS($E292)),LEN(TRIM($M292&amp;""))&gt;0,TRIM($M292&amp;"")&lt;&gt;"—",LEN(TRIM($P292&amp;""))=0),"PASS","FAIL — "&amp;IF(LEN(TRIM($P292&amp;""))&gt;0,TRIM($P292&amp;""),"line ≠ qty×unit, a required cell empty, or qty/£ non-positive"))</f>
        <v>PASS</v>
      </c>
      <c r="P292" s="70"/>
      <c r="Q292" s="16" t="str">
        <f aca="false">IF(AND(LEN(TRIM(A292&amp;""))&gt;0,TRIM(A292&amp;"")&lt;&gt;"—",LEN(TRIM(B292&amp;""))&gt;0,TRIM(B292&amp;"")&lt;&gt;"—",LEN(TRIM(C292&amp;""))&gt;0,TRIM(C292&amp;"")&lt;&gt;"—",ISNUMBER(C292),LEN(TRIM(D292&amp;""))&gt;0,TRIM(D292&amp;"")&lt;&gt;"—",ISNUMBER(D292),LEN(TRIM(E292&amp;""))&gt;0,TRIM(E292&amp;"")&lt;&gt;"—",ISNUMBER(E292),LEN(TRIM(F292&amp;""))&gt;0,TRIM(F292&amp;"")&lt;&gt;"—",LEN(TRIM(I292&amp;""))&gt;0,TRIM(I292&amp;"")&lt;&gt;"—",LEN(TRIM(J292&amp;""))&gt;0,TRIM(J292&amp;"")&lt;&gt;"—",LEN(TRIM(O292&amp;""))&gt;0,TRIM(O292&amp;"")&lt;&gt;"—"),"PASS","⚠ FAIL — "&amp;"a required cell is empty/placeholder or wrong type")</f>
        <v>PASS</v>
      </c>
    </row>
    <row r="293" customFormat="false" ht="32.8" hidden="false" customHeight="false" outlineLevel="0" collapsed="false">
      <c r="A293" s="11" t="str">
        <f aca="false">'Part names'!$A$60</f>
        <v>X-138</v>
      </c>
      <c r="B293" s="68" t="str">
        <f aca="false">'Part names'!$B$60</f>
        <v>Module Support System</v>
      </c>
      <c r="C293" s="28" t="n">
        <v>1</v>
      </c>
      <c r="D293" s="36" t="n">
        <v>300</v>
      </c>
      <c r="E293" s="36" t="n">
        <v>300</v>
      </c>
      <c r="F293" s="11" t="s">
        <v>429</v>
      </c>
      <c r="G293" s="15" t="s">
        <v>901</v>
      </c>
      <c r="H293" s="15" t="s">
        <v>902</v>
      </c>
      <c r="I293" s="11" t="n">
        <v>4</v>
      </c>
      <c r="J293" s="11" t="s">
        <v>432</v>
      </c>
      <c r="K293" s="15" t="s">
        <v>903</v>
      </c>
      <c r="L293" s="15" t="s">
        <v>425</v>
      </c>
      <c r="M293" s="15" t="s">
        <v>904</v>
      </c>
      <c r="N293" s="71" t="s">
        <v>435</v>
      </c>
      <c r="O293" s="69" t="str">
        <f aca="false">IF(AND(LEN(TRIM($B293&amp;""))&gt;0,ISNUMBER($C293),$C293&gt;0,ISNUMBER($D293),$D293&gt;0,ISNUMBER($E293),$E293&gt;0,ABS($E293-$C293*$D293)&lt;=MAX(1,0.005*ABS($E293)),LEN(TRIM($M293&amp;""))&gt;0,TRIM($M293&amp;"")&lt;&gt;"—",LEN(TRIM($P293&amp;""))=0),"PASS","FAIL — "&amp;IF(LEN(TRIM($P293&amp;""))&gt;0,TRIM($P293&amp;""),"line ≠ qty×unit, a required cell empty, or qty/£ non-positive"))</f>
        <v>PASS</v>
      </c>
      <c r="P293" s="70"/>
      <c r="Q293" s="16" t="str">
        <f aca="false">IF(AND(LEN(TRIM(A293&amp;""))&gt;0,TRIM(A293&amp;"")&lt;&gt;"—",LEN(TRIM(B293&amp;""))&gt;0,TRIM(B293&amp;"")&lt;&gt;"—",LEN(TRIM(C293&amp;""))&gt;0,TRIM(C293&amp;"")&lt;&gt;"—",ISNUMBER(C293),LEN(TRIM(D293&amp;""))&gt;0,TRIM(D293&amp;"")&lt;&gt;"—",ISNUMBER(D293),LEN(TRIM(E293&amp;""))&gt;0,TRIM(E293&amp;"")&lt;&gt;"—",ISNUMBER(E293),LEN(TRIM(F293&amp;""))&gt;0,TRIM(F293&amp;"")&lt;&gt;"—",LEN(TRIM(I293&amp;""))&gt;0,TRIM(I293&amp;"")&lt;&gt;"—",LEN(TRIM(J293&amp;""))&gt;0,TRIM(J293&amp;"")&lt;&gt;"—",LEN(TRIM(O293&amp;""))&gt;0,TRIM(O293&amp;"")&lt;&gt;"—"),"PASS","⚠ FAIL — "&amp;"a required cell is empty/placeholder or wrong type")</f>
        <v>PASS</v>
      </c>
    </row>
    <row r="294" customFormat="false" ht="32.8" hidden="false" customHeight="false" outlineLevel="0" collapsed="false">
      <c r="A294" s="11" t="str">
        <f aca="false">'Part names'!$A$33</f>
        <v>X-139</v>
      </c>
      <c r="B294" s="68" t="str">
        <f aca="false">'Part names'!$B$33</f>
        <v>Flexmount Connectors</v>
      </c>
      <c r="C294" s="28" t="n">
        <v>1</v>
      </c>
      <c r="D294" s="36" t="n">
        <v>1</v>
      </c>
      <c r="E294" s="36" t="n">
        <v>1</v>
      </c>
      <c r="F294" s="11" t="s">
        <v>436</v>
      </c>
      <c r="G294" s="15" t="s">
        <v>437</v>
      </c>
      <c r="H294" s="15" t="s">
        <v>438</v>
      </c>
      <c r="I294" s="11" t="n">
        <v>5</v>
      </c>
      <c r="J294" s="11" t="s">
        <v>432</v>
      </c>
      <c r="K294" s="15" t="s">
        <v>905</v>
      </c>
      <c r="L294" s="15" t="s">
        <v>425</v>
      </c>
      <c r="M294" s="15" t="s">
        <v>445</v>
      </c>
      <c r="N294" s="15" t="s">
        <v>441</v>
      </c>
      <c r="O294" s="69" t="str">
        <f aca="false">IF(AND(LEN(TRIM($B294&amp;""))&gt;0,ISNUMBER($C294),$C294&gt;0,ISNUMBER($D294),$D294&gt;0,ISNUMBER($E294),$E294&gt;0,ABS($E294-$C294*$D294)&lt;=MAX(1,0.005*ABS($E294)),LEN(TRIM($M294&amp;""))&gt;0,TRIM($M294&amp;"")&lt;&gt;"—",LEN(TRIM($P294&amp;""))=0),"PASS","FAIL — "&amp;IF(LEN(TRIM($P294&amp;""))&gt;0,TRIM($P294&amp;""),"line ≠ qty×unit, a required cell empty, or qty/£ non-positive"))</f>
        <v>PASS</v>
      </c>
      <c r="P294" s="70"/>
      <c r="Q294" s="16" t="str">
        <f aca="false">IF(AND(LEN(TRIM(A294&amp;""))&gt;0,TRIM(A294&amp;"")&lt;&gt;"—",LEN(TRIM(B294&amp;""))&gt;0,TRIM(B294&amp;"")&lt;&gt;"—",LEN(TRIM(C294&amp;""))&gt;0,TRIM(C294&amp;"")&lt;&gt;"—",ISNUMBER(C294),LEN(TRIM(D294&amp;""))&gt;0,TRIM(D294&amp;"")&lt;&gt;"—",ISNUMBER(D294),LEN(TRIM(E294&amp;""))&gt;0,TRIM(E294&amp;"")&lt;&gt;"—",ISNUMBER(E294),LEN(TRIM(F294&amp;""))&gt;0,TRIM(F294&amp;"")&lt;&gt;"—",LEN(TRIM(I294&amp;""))&gt;0,TRIM(I294&amp;"")&lt;&gt;"—",LEN(TRIM(J294&amp;""))&gt;0,TRIM(J294&amp;"")&lt;&gt;"—",LEN(TRIM(O294&amp;""))&gt;0,TRIM(O294&amp;"")&lt;&gt;"—"),"PASS","⚠ FAIL — "&amp;"a required cell is empty/placeholder or wrong type")</f>
        <v>PASS</v>
      </c>
    </row>
    <row r="295" customFormat="false" ht="23.85" hidden="false" customHeight="false" outlineLevel="0" collapsed="false">
      <c r="A295" s="11" t="str">
        <f aca="false">'Part names'!$A$67</f>
        <v>X-140</v>
      </c>
      <c r="B295" s="68" t="str">
        <f aca="false">'Part names'!$B$67 &amp; "  · 2.3 m dia x 2.4 m"</f>
        <v>Painted Carbon Steel Skid Frame  · 2.3 m dia x 2.4 m</v>
      </c>
      <c r="C295" s="28" t="n">
        <v>1</v>
      </c>
      <c r="D295" s="36" t="n">
        <v>40</v>
      </c>
      <c r="E295" s="36" t="n">
        <v>40</v>
      </c>
      <c r="F295" s="11" t="s">
        <v>429</v>
      </c>
      <c r="G295" s="15" t="s">
        <v>469</v>
      </c>
      <c r="H295" s="15"/>
      <c r="I295" s="11" t="n">
        <v>4</v>
      </c>
      <c r="J295" s="11" t="s">
        <v>432</v>
      </c>
      <c r="K295" s="15" t="s">
        <v>906</v>
      </c>
      <c r="L295" s="68" t="s">
        <v>891</v>
      </c>
      <c r="M295" s="15" t="s">
        <v>892</v>
      </c>
      <c r="N295" s="68" t="s">
        <v>476</v>
      </c>
      <c r="O295" s="69" t="str">
        <f aca="false">IF(AND(LEN(TRIM($B295&amp;""))&gt;0,ISNUMBER($C295),$C295&gt;0,ISNUMBER($D295),$D295&gt;0,ISNUMBER($E295),$E295&gt;0,ABS($E295-$C295*$D295)&lt;=MAX(1,0.005*ABS($E295)),LEN(TRIM($M295&amp;""))&gt;0,TRIM($M295&amp;"")&lt;&gt;"—",LEN(TRIM($P295&amp;""))=0),"PASS","FAIL — "&amp;IF(LEN(TRIM($P295&amp;""))&gt;0,TRIM($P295&amp;""),"line ≠ qty×unit, a required cell empty, or qty/£ non-positive"))</f>
        <v>PASS</v>
      </c>
      <c r="P295" s="70"/>
      <c r="Q295" s="16" t="str">
        <f aca="false">IF(AND(LEN(TRIM(A295&amp;""))&gt;0,TRIM(A295&amp;"")&lt;&gt;"—",LEN(TRIM(B295&amp;""))&gt;0,TRIM(B295&amp;"")&lt;&gt;"—",LEN(TRIM(C295&amp;""))&gt;0,TRIM(C295&amp;"")&lt;&gt;"—",ISNUMBER(C295),LEN(TRIM(D295&amp;""))&gt;0,TRIM(D295&amp;"")&lt;&gt;"—",ISNUMBER(D295),LEN(TRIM(E295&amp;""))&gt;0,TRIM(E295&amp;"")&lt;&gt;"—",ISNUMBER(E295),LEN(TRIM(F295&amp;""))&gt;0,TRIM(F295&amp;"")&lt;&gt;"—",LEN(TRIM(I295&amp;""))&gt;0,TRIM(I295&amp;"")&lt;&gt;"—",LEN(TRIM(J295&amp;""))&gt;0,TRIM(J295&amp;"")&lt;&gt;"—",LEN(TRIM(O295&amp;""))&gt;0,TRIM(O295&amp;"")&lt;&gt;"—"),"PASS","⚠ FAIL — "&amp;"a required cell is empty/placeholder or wrong type")</f>
        <v>PASS</v>
      </c>
    </row>
    <row r="296" customFormat="false" ht="32.8" hidden="false" customHeight="false" outlineLevel="0" collapsed="true">
      <c r="A296" s="11" t="str">
        <f aca="false">'Part names'!$A$39</f>
        <v>F-3</v>
      </c>
      <c r="B296" s="68" t="str">
        <f aca="false">'Part names'!$B$39 &amp; "  · 364 m² area"</f>
        <v>Grp Membrane Housings  · 364 m² area</v>
      </c>
      <c r="C296" s="28" t="n">
        <v>1</v>
      </c>
      <c r="D296" s="36" t="n">
        <v>11000</v>
      </c>
      <c r="E296" s="36" t="n">
        <v>11000</v>
      </c>
      <c r="F296" s="11" t="s">
        <v>436</v>
      </c>
      <c r="G296" s="15" t="s">
        <v>907</v>
      </c>
      <c r="H296" s="15" t="s">
        <v>908</v>
      </c>
      <c r="I296" s="11" t="n">
        <v>5</v>
      </c>
      <c r="J296" s="11" t="s">
        <v>432</v>
      </c>
      <c r="K296" s="15" t="s">
        <v>909</v>
      </c>
      <c r="L296" s="68" t="s">
        <v>474</v>
      </c>
      <c r="M296" s="15" t="s">
        <v>910</v>
      </c>
      <c r="N296" s="68" t="s">
        <v>476</v>
      </c>
      <c r="O296" s="69" t="str">
        <f aca="false">IF(AND(LEN(TRIM($B296&amp;""))&gt;0,ISNUMBER($C296),$C296&gt;0,ISNUMBER($D296),$D296&gt;0,ISNUMBER($E296),$E296&gt;0,ABS($E296-$C296*$D296)&lt;=MAX(1,0.005*ABS($E296)),LEN(TRIM($M296&amp;""))&gt;0,TRIM($M296&amp;"")&lt;&gt;"—",LEN(TRIM($P296&amp;""))=0),"PASS","FAIL — "&amp;IF(LEN(TRIM($P296&amp;""))&gt;0,TRIM($P296&amp;""),"line ≠ qty×unit, a required cell empty, or qty/£ non-positive"))</f>
        <v>PASS</v>
      </c>
      <c r="P296" s="70"/>
      <c r="Q296" s="16" t="str">
        <f aca="false">IF(AND(LEN(TRIM(A296&amp;""))&gt;0,TRIM(A296&amp;"")&lt;&gt;"—",LEN(TRIM(B296&amp;""))&gt;0,TRIM(B296&amp;"")&lt;&gt;"—",LEN(TRIM(C296&amp;""))&gt;0,TRIM(C296&amp;"")&lt;&gt;"—",ISNUMBER(C296),LEN(TRIM(D296&amp;""))&gt;0,TRIM(D296&amp;"")&lt;&gt;"—",ISNUMBER(D296),LEN(TRIM(E296&amp;""))&gt;0,TRIM(E296&amp;"")&lt;&gt;"—",ISNUMBER(E296),LEN(TRIM(F296&amp;""))&gt;0,TRIM(F296&amp;"")&lt;&gt;"—",LEN(TRIM(I296&amp;""))&gt;0,TRIM(I296&amp;"")&lt;&gt;"—",LEN(TRIM(J296&amp;""))&gt;0,TRIM(J296&amp;"")&lt;&gt;"—",LEN(TRIM(O296&amp;""))&gt;0,TRIM(O296&amp;"")&lt;&gt;"—"),"PASS","⚠ FAIL — "&amp;"a required cell is empty/placeholder or wrong type")</f>
        <v>PASS</v>
      </c>
    </row>
    <row r="297" customFormat="false" ht="15" hidden="true" customHeight="false" outlineLevel="1" collapsed="false">
      <c r="A297" s="11" t="s">
        <v>477</v>
      </c>
      <c r="B297" s="68" t="s">
        <v>478</v>
      </c>
      <c r="C297" s="28" t="n">
        <v>1</v>
      </c>
      <c r="D297" s="11" t="s">
        <v>479</v>
      </c>
      <c r="E297" s="11" t="s">
        <v>480</v>
      </c>
      <c r="F297" s="11" t="s">
        <v>429</v>
      </c>
      <c r="G297" s="15" t="s">
        <v>481</v>
      </c>
      <c r="H297" s="15"/>
      <c r="I297" s="11" t="n">
        <v>4</v>
      </c>
      <c r="J297" s="11" t="s">
        <v>432</v>
      </c>
      <c r="O297" s="69" t="str">
        <f aca="false">IF(AND(LEN(TRIM($B297&amp;""))&gt;0,LEN(TRIM($P297&amp;""))=0),"PASS","FAIL — "&amp;IF(LEN(TRIM($P297&amp;""))&gt;0,TRIM($P297&amp;""),"line ≠ qty×unit, a required cell empty, or qty/£ non-positive"))</f>
        <v>PASS</v>
      </c>
      <c r="P297" s="70"/>
      <c r="Q297" s="16" t="str">
        <f aca="false">IF(AND(LEN(TRIM(B297&amp;""))&gt;0,TRIM(B297&amp;"")&lt;&gt;"—",LEN(TRIM(C297&amp;""))&gt;0,TRIM(C297&amp;"")&lt;&gt;"—",ISNUMBER(C297),LEN(TRIM(F297&amp;""))&gt;0,TRIM(F297&amp;"")&lt;&gt;"—",LEN(TRIM(I297&amp;""))&gt;0,TRIM(I297&amp;"")&lt;&gt;"—",LEN(TRIM(J297&amp;""))&gt;0,TRIM(J297&amp;"")&lt;&gt;"—",LEN(TRIM(O297&amp;""))&gt;0,TRIM(O297&amp;"")&lt;&gt;"—"),"PASS","⚠ FAIL — "&amp;"a required cell is empty/placeholder or wrong type")</f>
        <v>PASS</v>
      </c>
    </row>
    <row r="298" customFormat="false" ht="15" hidden="true" customHeight="false" outlineLevel="1" collapsed="false">
      <c r="A298" s="11" t="s">
        <v>482</v>
      </c>
      <c r="B298" s="68" t="s">
        <v>483</v>
      </c>
      <c r="C298" s="28" t="n">
        <v>1</v>
      </c>
      <c r="D298" s="11" t="s">
        <v>479</v>
      </c>
      <c r="E298" s="11" t="s">
        <v>480</v>
      </c>
      <c r="F298" s="11" t="s">
        <v>436</v>
      </c>
      <c r="G298" s="15" t="s">
        <v>481</v>
      </c>
      <c r="H298" s="15"/>
      <c r="I298" s="11" t="n">
        <v>5</v>
      </c>
      <c r="J298" s="11" t="s">
        <v>432</v>
      </c>
      <c r="O298" s="69" t="str">
        <f aca="false">IF(AND(LEN(TRIM($B298&amp;""))&gt;0,LEN(TRIM($P298&amp;""))=0),"PASS","FAIL — "&amp;IF(LEN(TRIM($P298&amp;""))&gt;0,TRIM($P298&amp;""),"line ≠ qty×unit, a required cell empty, or qty/£ non-positive"))</f>
        <v>PASS</v>
      </c>
      <c r="P298" s="70"/>
      <c r="Q298" s="16" t="str">
        <f aca="false">IF(AND(LEN(TRIM(B298&amp;""))&gt;0,TRIM(B298&amp;"")&lt;&gt;"—",LEN(TRIM(C298&amp;""))&gt;0,TRIM(C298&amp;"")&lt;&gt;"—",ISNUMBER(C298),LEN(TRIM(F298&amp;""))&gt;0,TRIM(F298&amp;"")&lt;&gt;"—",LEN(TRIM(I298&amp;""))&gt;0,TRIM(I298&amp;"")&lt;&gt;"—",LEN(TRIM(J298&amp;""))&gt;0,TRIM(J298&amp;"")&lt;&gt;"—",LEN(TRIM(O298&amp;""))&gt;0,TRIM(O298&amp;"")&lt;&gt;"—"),"PASS","⚠ FAIL — "&amp;"a required cell is empty/placeholder or wrong type")</f>
        <v>PASS</v>
      </c>
    </row>
    <row r="299" customFormat="false" ht="15" hidden="true" customHeight="false" outlineLevel="1" collapsed="false">
      <c r="A299" s="11" t="s">
        <v>484</v>
      </c>
      <c r="B299" s="68" t="s">
        <v>485</v>
      </c>
      <c r="C299" s="28" t="n">
        <v>1</v>
      </c>
      <c r="D299" s="11" t="s">
        <v>479</v>
      </c>
      <c r="E299" s="11" t="s">
        <v>480</v>
      </c>
      <c r="F299" s="11" t="s">
        <v>436</v>
      </c>
      <c r="G299" s="15" t="s">
        <v>481</v>
      </c>
      <c r="H299" s="15"/>
      <c r="I299" s="11" t="n">
        <v>5</v>
      </c>
      <c r="J299" s="11" t="s">
        <v>432</v>
      </c>
      <c r="O299" s="69" t="str">
        <f aca="false">IF(AND(LEN(TRIM($B299&amp;""))&gt;0,LEN(TRIM($P299&amp;""))=0),"PASS","FAIL — "&amp;IF(LEN(TRIM($P299&amp;""))&gt;0,TRIM($P299&amp;""),"line ≠ qty×unit, a required cell empty, or qty/£ non-positive"))</f>
        <v>PASS</v>
      </c>
      <c r="P299" s="70"/>
      <c r="Q299" s="16" t="str">
        <f aca="false">IF(AND(LEN(TRIM(B299&amp;""))&gt;0,TRIM(B299&amp;"")&lt;&gt;"—",LEN(TRIM(C299&amp;""))&gt;0,TRIM(C299&amp;"")&lt;&gt;"—",ISNUMBER(C299),LEN(TRIM(F299&amp;""))&gt;0,TRIM(F299&amp;"")&lt;&gt;"—",LEN(TRIM(I299&amp;""))&gt;0,TRIM(I299&amp;"")&lt;&gt;"—",LEN(TRIM(J299&amp;""))&gt;0,TRIM(J299&amp;"")&lt;&gt;"—",LEN(TRIM(O299&amp;""))&gt;0,TRIM(O299&amp;"")&lt;&gt;"—"),"PASS","⚠ FAIL — "&amp;"a required cell is empty/placeholder or wrong type")</f>
        <v>PASS</v>
      </c>
    </row>
    <row r="300" customFormat="false" ht="15" hidden="true" customHeight="false" outlineLevel="1" collapsed="false">
      <c r="A300" s="11" t="s">
        <v>486</v>
      </c>
      <c r="B300" s="68" t="s">
        <v>487</v>
      </c>
      <c r="C300" s="28" t="n">
        <v>1</v>
      </c>
      <c r="D300" s="11" t="s">
        <v>479</v>
      </c>
      <c r="E300" s="11" t="s">
        <v>480</v>
      </c>
      <c r="F300" s="11" t="s">
        <v>436</v>
      </c>
      <c r="G300" s="15" t="s">
        <v>481</v>
      </c>
      <c r="H300" s="15"/>
      <c r="I300" s="11" t="n">
        <v>5</v>
      </c>
      <c r="J300" s="11" t="s">
        <v>432</v>
      </c>
      <c r="O300" s="69" t="str">
        <f aca="false">IF(AND(LEN(TRIM($B300&amp;""))&gt;0,LEN(TRIM($P300&amp;""))=0),"PASS","FAIL — "&amp;IF(LEN(TRIM($P300&amp;""))&gt;0,TRIM($P300&amp;""),"line ≠ qty×unit, a required cell empty, or qty/£ non-positive"))</f>
        <v>PASS</v>
      </c>
      <c r="P300" s="70"/>
      <c r="Q300" s="16" t="str">
        <f aca="false">IF(AND(LEN(TRIM(B300&amp;""))&gt;0,TRIM(B300&amp;"")&lt;&gt;"—",LEN(TRIM(C300&amp;""))&gt;0,TRIM(C300&amp;"")&lt;&gt;"—",ISNUMBER(C300),LEN(TRIM(F300&amp;""))&gt;0,TRIM(F300&amp;"")&lt;&gt;"—",LEN(TRIM(I300&amp;""))&gt;0,TRIM(I300&amp;"")&lt;&gt;"—",LEN(TRIM(J300&amp;""))&gt;0,TRIM(J300&amp;"")&lt;&gt;"—",LEN(TRIM(O300&amp;""))&gt;0,TRIM(O300&amp;"")&lt;&gt;"—"),"PASS","⚠ FAIL — "&amp;"a required cell is empty/placeholder or wrong type")</f>
        <v>PASS</v>
      </c>
    </row>
    <row r="301" customFormat="false" ht="15" hidden="true" customHeight="false" outlineLevel="1" collapsed="false">
      <c r="A301" s="11" t="s">
        <v>488</v>
      </c>
      <c r="B301" s="68" t="s">
        <v>489</v>
      </c>
      <c r="C301" s="28" t="n">
        <v>1</v>
      </c>
      <c r="D301" s="11" t="s">
        <v>479</v>
      </c>
      <c r="E301" s="11" t="s">
        <v>480</v>
      </c>
      <c r="F301" s="11" t="s">
        <v>429</v>
      </c>
      <c r="G301" s="15" t="s">
        <v>481</v>
      </c>
      <c r="H301" s="15"/>
      <c r="I301" s="11" t="n">
        <v>4</v>
      </c>
      <c r="J301" s="11" t="s">
        <v>432</v>
      </c>
      <c r="O301" s="69" t="str">
        <f aca="false">IF(AND(LEN(TRIM($B301&amp;""))&gt;0,LEN(TRIM($P301&amp;""))=0),"PASS","FAIL — "&amp;IF(LEN(TRIM($P301&amp;""))&gt;0,TRIM($P301&amp;""),"line ≠ qty×unit, a required cell empty, or qty/£ non-positive"))</f>
        <v>PASS</v>
      </c>
      <c r="P301" s="70"/>
      <c r="Q301" s="16" t="str">
        <f aca="false">IF(AND(LEN(TRIM(B301&amp;""))&gt;0,TRIM(B301&amp;"")&lt;&gt;"—",LEN(TRIM(C301&amp;""))&gt;0,TRIM(C301&amp;"")&lt;&gt;"—",ISNUMBER(C301),LEN(TRIM(F301&amp;""))&gt;0,TRIM(F301&amp;"")&lt;&gt;"—",LEN(TRIM(I301&amp;""))&gt;0,TRIM(I301&amp;"")&lt;&gt;"—",LEN(TRIM(J301&amp;""))&gt;0,TRIM(J301&amp;"")&lt;&gt;"—",LEN(TRIM(O301&amp;""))&gt;0,TRIM(O301&amp;"")&lt;&gt;"—"),"PASS","⚠ FAIL — "&amp;"a required cell is empty/placeholder or wrong type")</f>
        <v>PASS</v>
      </c>
    </row>
    <row r="302" customFormat="false" ht="15" hidden="true" customHeight="false" outlineLevel="1" collapsed="false">
      <c r="A302" s="11" t="s">
        <v>490</v>
      </c>
      <c r="B302" s="68" t="s">
        <v>491</v>
      </c>
      <c r="C302" s="28" t="n">
        <v>1</v>
      </c>
      <c r="D302" s="11" t="s">
        <v>479</v>
      </c>
      <c r="E302" s="11" t="s">
        <v>480</v>
      </c>
      <c r="F302" s="11" t="s">
        <v>436</v>
      </c>
      <c r="G302" s="15" t="s">
        <v>481</v>
      </c>
      <c r="H302" s="15"/>
      <c r="I302" s="11" t="n">
        <v>5</v>
      </c>
      <c r="J302" s="11" t="s">
        <v>432</v>
      </c>
      <c r="O302" s="69" t="str">
        <f aca="false">IF(AND(LEN(TRIM($B302&amp;""))&gt;0,LEN(TRIM($P302&amp;""))=0),"PASS","FAIL — "&amp;IF(LEN(TRIM($P302&amp;""))&gt;0,TRIM($P302&amp;""),"line ≠ qty×unit, a required cell empty, or qty/£ non-positive"))</f>
        <v>PASS</v>
      </c>
      <c r="P302" s="70"/>
      <c r="Q302" s="16" t="str">
        <f aca="false">IF(AND(LEN(TRIM(B302&amp;""))&gt;0,TRIM(B302&amp;"")&lt;&gt;"—",LEN(TRIM(C302&amp;""))&gt;0,TRIM(C302&amp;"")&lt;&gt;"—",ISNUMBER(C302),LEN(TRIM(F302&amp;""))&gt;0,TRIM(F302&amp;"")&lt;&gt;"—",LEN(TRIM(I302&amp;""))&gt;0,TRIM(I302&amp;"")&lt;&gt;"—",LEN(TRIM(J302&amp;""))&gt;0,TRIM(J302&amp;"")&lt;&gt;"—",LEN(TRIM(O302&amp;""))&gt;0,TRIM(O302&amp;"")&lt;&gt;"—"),"PASS","⚠ FAIL — "&amp;"a required cell is empty/placeholder or wrong type")</f>
        <v>PASS</v>
      </c>
    </row>
    <row r="303" customFormat="false" ht="15" hidden="true" customHeight="false" outlineLevel="1" collapsed="false">
      <c r="A303" s="11" t="s">
        <v>492</v>
      </c>
      <c r="B303" s="68" t="s">
        <v>493</v>
      </c>
      <c r="C303" s="28" t="n">
        <v>1</v>
      </c>
      <c r="D303" s="11" t="s">
        <v>479</v>
      </c>
      <c r="E303" s="11" t="s">
        <v>480</v>
      </c>
      <c r="F303" s="11" t="s">
        <v>436</v>
      </c>
      <c r="G303" s="15" t="s">
        <v>481</v>
      </c>
      <c r="H303" s="15"/>
      <c r="I303" s="11" t="n">
        <v>5</v>
      </c>
      <c r="J303" s="11" t="s">
        <v>432</v>
      </c>
      <c r="O303" s="69" t="str">
        <f aca="false">IF(AND(LEN(TRIM($B303&amp;""))&gt;0,LEN(TRIM($P303&amp;""))=0),"PASS","FAIL — "&amp;IF(LEN(TRIM($P303&amp;""))&gt;0,TRIM($P303&amp;""),"line ≠ qty×unit, a required cell empty, or qty/£ non-positive"))</f>
        <v>PASS</v>
      </c>
      <c r="P303" s="70"/>
      <c r="Q303" s="16" t="str">
        <f aca="false">IF(AND(LEN(TRIM(B303&amp;""))&gt;0,TRIM(B303&amp;"")&lt;&gt;"—",LEN(TRIM(C303&amp;""))&gt;0,TRIM(C303&amp;"")&lt;&gt;"—",ISNUMBER(C303),LEN(TRIM(F303&amp;""))&gt;0,TRIM(F303&amp;"")&lt;&gt;"—",LEN(TRIM(I303&amp;""))&gt;0,TRIM(I303&amp;"")&lt;&gt;"—",LEN(TRIM(J303&amp;""))&gt;0,TRIM(J303&amp;"")&lt;&gt;"—",LEN(TRIM(O303&amp;""))&gt;0,TRIM(O303&amp;"")&lt;&gt;"—"),"PASS","⚠ FAIL — "&amp;"a required cell is empty/placeholder or wrong type")</f>
        <v>PASS</v>
      </c>
    </row>
    <row r="304" customFormat="false" ht="15" hidden="true" customHeight="false" outlineLevel="1" collapsed="false">
      <c r="A304" s="11" t="s">
        <v>494</v>
      </c>
      <c r="B304" s="68" t="s">
        <v>495</v>
      </c>
      <c r="C304" s="28" t="n">
        <v>1</v>
      </c>
      <c r="D304" s="11" t="s">
        <v>479</v>
      </c>
      <c r="E304" s="11" t="s">
        <v>480</v>
      </c>
      <c r="F304" s="11" t="s">
        <v>429</v>
      </c>
      <c r="G304" s="15" t="s">
        <v>481</v>
      </c>
      <c r="H304" s="15"/>
      <c r="I304" s="11" t="n">
        <v>4</v>
      </c>
      <c r="J304" s="11" t="s">
        <v>432</v>
      </c>
      <c r="O304" s="69" t="str">
        <f aca="false">IF(AND(LEN(TRIM($B304&amp;""))&gt;0,LEN(TRIM($P304&amp;""))=0),"PASS","FAIL — "&amp;IF(LEN(TRIM($P304&amp;""))&gt;0,TRIM($P304&amp;""),"line ≠ qty×unit, a required cell empty, or qty/£ non-positive"))</f>
        <v>PASS</v>
      </c>
      <c r="P304" s="70"/>
      <c r="Q304" s="16" t="str">
        <f aca="false">IF(AND(LEN(TRIM(B304&amp;""))&gt;0,TRIM(B304&amp;"")&lt;&gt;"—",LEN(TRIM(C304&amp;""))&gt;0,TRIM(C304&amp;"")&lt;&gt;"—",ISNUMBER(C304),LEN(TRIM(F304&amp;""))&gt;0,TRIM(F304&amp;"")&lt;&gt;"—",LEN(TRIM(I304&amp;""))&gt;0,TRIM(I304&amp;"")&lt;&gt;"—",LEN(TRIM(J304&amp;""))&gt;0,TRIM(J304&amp;"")&lt;&gt;"—",LEN(TRIM(O304&amp;""))&gt;0,TRIM(O304&amp;"")&lt;&gt;"—"),"PASS","⚠ FAIL — "&amp;"a required cell is empty/placeholder or wrong type")</f>
        <v>PASS</v>
      </c>
    </row>
    <row r="305" customFormat="false" ht="15" hidden="true" customHeight="false" outlineLevel="1" collapsed="false">
      <c r="A305" s="11" t="s">
        <v>496</v>
      </c>
      <c r="B305" s="68" t="s">
        <v>497</v>
      </c>
      <c r="C305" s="28" t="n">
        <v>1</v>
      </c>
      <c r="D305" s="11" t="s">
        <v>479</v>
      </c>
      <c r="E305" s="11" t="s">
        <v>480</v>
      </c>
      <c r="F305" s="11" t="s">
        <v>429</v>
      </c>
      <c r="G305" s="15" t="s">
        <v>481</v>
      </c>
      <c r="H305" s="15"/>
      <c r="I305" s="11" t="n">
        <v>4</v>
      </c>
      <c r="J305" s="11" t="s">
        <v>432</v>
      </c>
      <c r="O305" s="69" t="str">
        <f aca="false">IF(AND(LEN(TRIM($B305&amp;""))&gt;0,LEN(TRIM($P305&amp;""))=0),"PASS","FAIL — "&amp;IF(LEN(TRIM($P305&amp;""))&gt;0,TRIM($P305&amp;""),"line ≠ qty×unit, a required cell empty, or qty/£ non-positive"))</f>
        <v>PASS</v>
      </c>
      <c r="P305" s="70"/>
      <c r="Q305" s="16" t="str">
        <f aca="false">IF(AND(LEN(TRIM(B305&amp;""))&gt;0,TRIM(B305&amp;"")&lt;&gt;"—",LEN(TRIM(C305&amp;""))&gt;0,TRIM(C305&amp;"")&lt;&gt;"—",ISNUMBER(C305),LEN(TRIM(F305&amp;""))&gt;0,TRIM(F305&amp;"")&lt;&gt;"—",LEN(TRIM(I305&amp;""))&gt;0,TRIM(I305&amp;"")&lt;&gt;"—",LEN(TRIM(J305&amp;""))&gt;0,TRIM(J305&amp;"")&lt;&gt;"—",LEN(TRIM(O305&amp;""))&gt;0,TRIM(O305&amp;"")&lt;&gt;"—"),"PASS","⚠ FAIL — "&amp;"a required cell is empty/placeholder or wrong type")</f>
        <v>PASS</v>
      </c>
    </row>
    <row r="306" customFormat="false" ht="15" hidden="true" customHeight="false" outlineLevel="1" collapsed="false">
      <c r="A306" s="11" t="s">
        <v>498</v>
      </c>
      <c r="B306" s="68" t="s">
        <v>499</v>
      </c>
      <c r="C306" s="28" t="n">
        <v>1</v>
      </c>
      <c r="D306" s="11" t="s">
        <v>479</v>
      </c>
      <c r="E306" s="11" t="s">
        <v>480</v>
      </c>
      <c r="F306" s="11" t="s">
        <v>436</v>
      </c>
      <c r="G306" s="15" t="s">
        <v>481</v>
      </c>
      <c r="H306" s="15"/>
      <c r="I306" s="11" t="n">
        <v>5</v>
      </c>
      <c r="J306" s="11" t="s">
        <v>432</v>
      </c>
      <c r="O306" s="69" t="str">
        <f aca="false">IF(AND(LEN(TRIM($B306&amp;""))&gt;0,LEN(TRIM($P306&amp;""))=0),"PASS","FAIL — "&amp;IF(LEN(TRIM($P306&amp;""))&gt;0,TRIM($P306&amp;""),"line ≠ qty×unit, a required cell empty, or qty/£ non-positive"))</f>
        <v>PASS</v>
      </c>
      <c r="P306" s="70"/>
      <c r="Q306" s="16" t="str">
        <f aca="false">IF(AND(LEN(TRIM(B306&amp;""))&gt;0,TRIM(B306&amp;"")&lt;&gt;"—",LEN(TRIM(C306&amp;""))&gt;0,TRIM(C306&amp;"")&lt;&gt;"—",ISNUMBER(C306),LEN(TRIM(F306&amp;""))&gt;0,TRIM(F306&amp;"")&lt;&gt;"—",LEN(TRIM(I306&amp;""))&gt;0,TRIM(I306&amp;"")&lt;&gt;"—",LEN(TRIM(J306&amp;""))&gt;0,TRIM(J306&amp;"")&lt;&gt;"—",LEN(TRIM(O306&amp;""))&gt;0,TRIM(O306&amp;"")&lt;&gt;"—"),"PASS","⚠ FAIL — "&amp;"a required cell is empty/placeholder or wrong type")</f>
        <v>PASS</v>
      </c>
    </row>
    <row r="307" customFormat="false" ht="23.85" hidden="false" customHeight="false" outlineLevel="0" collapsed="false">
      <c r="A307" s="11" t="str">
        <f aca="false">'Part names'!$A$78</f>
        <v>V-110</v>
      </c>
      <c r="B307" s="68" t="str">
        <f aca="false">'Part names'!$B$78 &amp; "  · 4 kW · 600x510x660 mm"</f>
        <v>Pressure Relief Valve  · 4 kW · 600x510x660 mm</v>
      </c>
      <c r="C307" s="28" t="n">
        <v>1</v>
      </c>
      <c r="D307" s="36" t="n">
        <v>18</v>
      </c>
      <c r="E307" s="36" t="n">
        <v>18</v>
      </c>
      <c r="F307" s="11" t="s">
        <v>436</v>
      </c>
      <c r="G307" s="15" t="s">
        <v>437</v>
      </c>
      <c r="H307" s="15" t="s">
        <v>438</v>
      </c>
      <c r="I307" s="11" t="n">
        <v>5</v>
      </c>
      <c r="J307" s="11" t="s">
        <v>432</v>
      </c>
      <c r="K307" s="15" t="s">
        <v>911</v>
      </c>
      <c r="L307" s="68" t="s">
        <v>512</v>
      </c>
      <c r="M307" s="15" t="s">
        <v>513</v>
      </c>
      <c r="N307" s="68" t="s">
        <v>912</v>
      </c>
      <c r="O307" s="69" t="str">
        <f aca="false">IF(AND(LEN(TRIM($B307&amp;""))&gt;0,ISNUMBER($C307),$C307&gt;0,ISNUMBER($D307),$D307&gt;0,ISNUMBER($E307),$E307&gt;0,ABS($E307-$C307*$D307)&lt;=MAX(1,0.005*ABS($E307)),LEN(TRIM($M307&amp;""))&gt;0,TRIM($M307&amp;"")&lt;&gt;"—",LEN(TRIM($P307&amp;""))=0),"PASS","FAIL — "&amp;IF(LEN(TRIM($P307&amp;""))&gt;0,TRIM($P307&amp;""),"line ≠ qty×unit, a required cell empty, or qty/£ non-positive"))</f>
        <v>PASS</v>
      </c>
      <c r="P307" s="70"/>
      <c r="Q307" s="16" t="str">
        <f aca="false">IF(AND(LEN(TRIM(A307&amp;""))&gt;0,TRIM(A307&amp;"")&lt;&gt;"—",LEN(TRIM(B307&amp;""))&gt;0,TRIM(B307&amp;"")&lt;&gt;"—",LEN(TRIM(C307&amp;""))&gt;0,TRIM(C307&amp;"")&lt;&gt;"—",ISNUMBER(C307),LEN(TRIM(D307&amp;""))&gt;0,TRIM(D307&amp;"")&lt;&gt;"—",ISNUMBER(D307),LEN(TRIM(E307&amp;""))&gt;0,TRIM(E307&amp;"")&lt;&gt;"—",ISNUMBER(E307),LEN(TRIM(F307&amp;""))&gt;0,TRIM(F307&amp;"")&lt;&gt;"—",LEN(TRIM(I307&amp;""))&gt;0,TRIM(I307&amp;"")&lt;&gt;"—",LEN(TRIM(J307&amp;""))&gt;0,TRIM(J307&amp;"")&lt;&gt;"—",LEN(TRIM(O307&amp;""))&gt;0,TRIM(O307&amp;"")&lt;&gt;"—"),"PASS","⚠ FAIL — "&amp;"a required cell is empty/placeholder or wrong type")</f>
        <v>PASS</v>
      </c>
    </row>
    <row r="308" customFormat="false" ht="32.8" hidden="false" customHeight="false" outlineLevel="0" collapsed="false">
      <c r="A308" s="11" t="str">
        <f aca="false">'Part names'!$A$52</f>
        <v>I-111</v>
      </c>
      <c r="B308" s="68" t="str">
        <f aca="false">'Part names'!$B$52</f>
        <v>Low Pressure Switch</v>
      </c>
      <c r="C308" s="28" t="n">
        <v>1</v>
      </c>
      <c r="D308" s="36" t="n">
        <v>76</v>
      </c>
      <c r="E308" s="36" t="n">
        <v>76</v>
      </c>
      <c r="F308" s="11" t="s">
        <v>429</v>
      </c>
      <c r="G308" s="15" t="s">
        <v>469</v>
      </c>
      <c r="H308" s="15" t="s">
        <v>421</v>
      </c>
      <c r="I308" s="11" t="n">
        <v>4</v>
      </c>
      <c r="J308" s="11" t="s">
        <v>453</v>
      </c>
      <c r="K308" s="15" t="s">
        <v>913</v>
      </c>
      <c r="L308" s="15" t="s">
        <v>425</v>
      </c>
      <c r="M308" s="15" t="s">
        <v>421</v>
      </c>
      <c r="N308" s="68" t="s">
        <v>914</v>
      </c>
      <c r="O308" s="69" t="str">
        <f aca="false">IF(AND(LEN(TRIM($B308&amp;""))&gt;0,ISNUMBER($C308),$C308&gt;0,ISNUMBER($D308),$D308&gt;0,ISNUMBER($E308),$E308&gt;0,ABS($E308-$C308*$D308)&lt;=MAX(1,0.005*ABS($E308)),LEN(TRIM($M308&amp;""))&gt;0,TRIM($M308&amp;"")&lt;&gt;"—",LEN(TRIM($P308&amp;""))=0),"PASS","FAIL — "&amp;IF(LEN(TRIM($P308&amp;""))&gt;0,TRIM($P308&amp;""),"line ≠ qty×unit, a required cell empty, or qty/£ non-positive"))</f>
        <v>PASS</v>
      </c>
      <c r="P308" s="70"/>
      <c r="Q308" s="16" t="str">
        <f aca="false">IF(AND(LEN(TRIM(A308&amp;""))&gt;0,TRIM(A308&amp;"")&lt;&gt;"—",LEN(TRIM(B308&amp;""))&gt;0,TRIM(B308&amp;"")&lt;&gt;"—",LEN(TRIM(C308&amp;""))&gt;0,TRIM(C308&amp;"")&lt;&gt;"—",ISNUMBER(C308),LEN(TRIM(D308&amp;""))&gt;0,TRIM(D308&amp;"")&lt;&gt;"—",ISNUMBER(D308),LEN(TRIM(E308&amp;""))&gt;0,TRIM(E308&amp;"")&lt;&gt;"—",ISNUMBER(E308),LEN(TRIM(F308&amp;""))&gt;0,TRIM(F308&amp;"")&lt;&gt;"—",LEN(TRIM(I308&amp;""))&gt;0,TRIM(I308&amp;"")&lt;&gt;"—",LEN(TRIM(J308&amp;""))&gt;0,TRIM(J308&amp;"")&lt;&gt;"—",LEN(TRIM(O308&amp;""))&gt;0,TRIM(O308&amp;"")&lt;&gt;"—"),"PASS","⚠ FAIL — "&amp;"a required cell is empty/placeholder or wrong type")</f>
        <v>PASS</v>
      </c>
    </row>
    <row r="309" customFormat="false" ht="32.8" hidden="false" customHeight="false" outlineLevel="0" collapsed="false">
      <c r="A309" s="11" t="str">
        <f aca="false">'Part names'!$A$42</f>
        <v>I-112</v>
      </c>
      <c r="B309" s="68" t="str">
        <f aca="false">'Part names'!$B$42</f>
        <v>High Pressure Switch</v>
      </c>
      <c r="C309" s="28" t="n">
        <v>1</v>
      </c>
      <c r="D309" s="36" t="n">
        <v>30</v>
      </c>
      <c r="E309" s="36" t="n">
        <v>30</v>
      </c>
      <c r="F309" s="11" t="s">
        <v>436</v>
      </c>
      <c r="G309" s="15" t="s">
        <v>437</v>
      </c>
      <c r="H309" s="15" t="s">
        <v>438</v>
      </c>
      <c r="I309" s="11" t="n">
        <v>5</v>
      </c>
      <c r="J309" s="11" t="s">
        <v>432</v>
      </c>
      <c r="K309" s="15" t="s">
        <v>915</v>
      </c>
      <c r="L309" s="15" t="s">
        <v>425</v>
      </c>
      <c r="M309" s="15" t="s">
        <v>445</v>
      </c>
      <c r="N309" s="71" t="s">
        <v>435</v>
      </c>
      <c r="O309" s="69" t="str">
        <f aca="false">IF(AND(LEN(TRIM($B309&amp;""))&gt;0,ISNUMBER($C309),$C309&gt;0,ISNUMBER($D309),$D309&gt;0,ISNUMBER($E309),$E309&gt;0,ABS($E309-$C309*$D309)&lt;=MAX(1,0.005*ABS($E309)),LEN(TRIM($M309&amp;""))&gt;0,TRIM($M309&amp;"")&lt;&gt;"—",LEN(TRIM($P309&amp;""))=0),"PASS","FAIL — "&amp;IF(LEN(TRIM($P309&amp;""))&gt;0,TRIM($P309&amp;""),"line ≠ qty×unit, a required cell empty, or qty/£ non-positive"))</f>
        <v>PASS</v>
      </c>
      <c r="P309" s="70"/>
      <c r="Q309" s="16" t="str">
        <f aca="false">IF(AND(LEN(TRIM(A309&amp;""))&gt;0,TRIM(A309&amp;"")&lt;&gt;"—",LEN(TRIM(B309&amp;""))&gt;0,TRIM(B309&amp;"")&lt;&gt;"—",LEN(TRIM(C309&amp;""))&gt;0,TRIM(C309&amp;"")&lt;&gt;"—",ISNUMBER(C309),LEN(TRIM(D309&amp;""))&gt;0,TRIM(D309&amp;"")&lt;&gt;"—",ISNUMBER(D309),LEN(TRIM(E309&amp;""))&gt;0,TRIM(E309&amp;"")&lt;&gt;"—",ISNUMBER(E309),LEN(TRIM(F309&amp;""))&gt;0,TRIM(F309&amp;"")&lt;&gt;"—",LEN(TRIM(I309&amp;""))&gt;0,TRIM(I309&amp;"")&lt;&gt;"—",LEN(TRIM(J309&amp;""))&gt;0,TRIM(J309&amp;"")&lt;&gt;"—",LEN(TRIM(O309&amp;""))&gt;0,TRIM(O309&amp;"")&lt;&gt;"—"),"PASS","⚠ FAIL — "&amp;"a required cell is empty/placeholder or wrong type")</f>
        <v>PASS</v>
      </c>
    </row>
    <row r="310" customFormat="false" ht="32.8" hidden="false" customHeight="false" outlineLevel="0" collapsed="false">
      <c r="A310" s="11" t="str">
        <f aca="false">'Part names'!$A$30</f>
        <v>X-141 / X-144 / I-114</v>
      </c>
      <c r="B310" s="68" t="str">
        <f aca="false">'Part names'!$B$30</f>
        <v>Emergency Stop</v>
      </c>
      <c r="C310" s="28" t="n">
        <v>3</v>
      </c>
      <c r="D310" s="36" t="n">
        <v>40</v>
      </c>
      <c r="E310" s="36" t="n">
        <v>120</v>
      </c>
      <c r="F310" s="11" t="s">
        <v>429</v>
      </c>
      <c r="G310" s="15" t="s">
        <v>469</v>
      </c>
      <c r="H310" s="15" t="s">
        <v>916</v>
      </c>
      <c r="I310" s="11" t="n">
        <v>4</v>
      </c>
      <c r="J310" s="11" t="s">
        <v>453</v>
      </c>
      <c r="K310" s="15" t="s">
        <v>917</v>
      </c>
      <c r="L310" s="15" t="s">
        <v>425</v>
      </c>
      <c r="M310" s="15" t="s">
        <v>918</v>
      </c>
      <c r="N310" s="71" t="s">
        <v>919</v>
      </c>
      <c r="O310" s="69" t="str">
        <f aca="false">IF(AND(LEN(TRIM($B310&amp;""))&gt;0,ISNUMBER($C310),$C310&gt;0,ISNUMBER($D310),$D310&gt;0,ISNUMBER($E310),$E310&gt;0,ABS($E310-$C310*$D310)&lt;=MAX(1,0.005*ABS($E310)),LEN(TRIM($M310&amp;""))&gt;0,TRIM($M310&amp;"")&lt;&gt;"—",LEN(TRIM($P310&amp;""))=0),"PASS","FAIL — "&amp;IF(LEN(TRIM($P310&amp;""))&gt;0,TRIM($P310&amp;""),"line ≠ qty×unit, a required cell empty, or qty/£ non-positive"))</f>
        <v>PASS</v>
      </c>
      <c r="P310" s="70"/>
      <c r="Q310" s="16" t="str">
        <f aca="false">IF(AND(LEN(TRIM(A310&amp;""))&gt;0,TRIM(A310&amp;"")&lt;&gt;"—",LEN(TRIM(B310&amp;""))&gt;0,TRIM(B310&amp;"")&lt;&gt;"—",LEN(TRIM(C310&amp;""))&gt;0,TRIM(C310&amp;"")&lt;&gt;"—",ISNUMBER(C310),LEN(TRIM(D310&amp;""))&gt;0,TRIM(D310&amp;"")&lt;&gt;"—",ISNUMBER(D310),LEN(TRIM(E310&amp;""))&gt;0,TRIM(E310&amp;"")&lt;&gt;"—",ISNUMBER(E310),LEN(TRIM(F310&amp;""))&gt;0,TRIM(F310&amp;"")&lt;&gt;"—",LEN(TRIM(I310&amp;""))&gt;0,TRIM(I310&amp;"")&lt;&gt;"—",LEN(TRIM(J310&amp;""))&gt;0,TRIM(J310&amp;"")&lt;&gt;"—",LEN(TRIM(O310&amp;""))&gt;0,TRIM(O310&amp;"")&lt;&gt;"—"),"PASS","⚠ FAIL — "&amp;"a required cell is empty/placeholder or wrong type")</f>
        <v>PASS</v>
      </c>
    </row>
    <row r="311" customFormat="false" ht="32.8" hidden="false" customHeight="false" outlineLevel="0" collapsed="false">
      <c r="A311" s="11" t="str">
        <f aca="false">'Part names'!$A$28</f>
        <v>I-102</v>
      </c>
      <c r="B311" s="68" t="str">
        <f aca="false">'Part names'!$B$28</f>
        <v>Electrical Control Cabinet</v>
      </c>
      <c r="C311" s="28" t="n">
        <v>1</v>
      </c>
      <c r="D311" s="36" t="n">
        <v>8023</v>
      </c>
      <c r="E311" s="36" t="n">
        <v>8023</v>
      </c>
      <c r="F311" s="11" t="s">
        <v>429</v>
      </c>
      <c r="G311" s="15" t="s">
        <v>920</v>
      </c>
      <c r="H311" s="15" t="s">
        <v>678</v>
      </c>
      <c r="I311" s="11" t="n">
        <v>4</v>
      </c>
      <c r="J311" s="11" t="s">
        <v>432</v>
      </c>
      <c r="K311" s="15" t="s">
        <v>921</v>
      </c>
      <c r="L311" s="68" t="s">
        <v>680</v>
      </c>
      <c r="M311" s="15" t="s">
        <v>922</v>
      </c>
      <c r="N311" s="68" t="s">
        <v>923</v>
      </c>
      <c r="O311" s="69" t="str">
        <f aca="false">IF(AND(LEN(TRIM($B311&amp;""))&gt;0,ISNUMBER($C311),$C311&gt;0,ISNUMBER($D311),$D311&gt;0,ISNUMBER($E311),$E311&gt;0,ABS($E311-$C311*$D311)&lt;=MAX(1,0.005*ABS($E311)),LEN(TRIM($M311&amp;""))&gt;0,TRIM($M311&amp;"")&lt;&gt;"—",LEN(TRIM($P311&amp;""))=0),"PASS","FAIL — "&amp;IF(LEN(TRIM($P311&amp;""))&gt;0,TRIM($P311&amp;""),"line ≠ qty×unit, a required cell empty, or qty/£ non-positive"))</f>
        <v>PASS</v>
      </c>
      <c r="P311" s="70"/>
      <c r="Q311" s="16" t="str">
        <f aca="false">IF(AND(LEN(TRIM(A311&amp;""))&gt;0,TRIM(A311&amp;"")&lt;&gt;"—",LEN(TRIM(B311&amp;""))&gt;0,TRIM(B311&amp;"")&lt;&gt;"—",LEN(TRIM(C311&amp;""))&gt;0,TRIM(C311&amp;"")&lt;&gt;"—",ISNUMBER(C311),LEN(TRIM(D311&amp;""))&gt;0,TRIM(D311&amp;"")&lt;&gt;"—",ISNUMBER(D311),LEN(TRIM(E311&amp;""))&gt;0,TRIM(E311&amp;"")&lt;&gt;"—",ISNUMBER(E311),LEN(TRIM(F311&amp;""))&gt;0,TRIM(F311&amp;"")&lt;&gt;"—",LEN(TRIM(I311&amp;""))&gt;0,TRIM(I311&amp;"")&lt;&gt;"—",LEN(TRIM(J311&amp;""))&gt;0,TRIM(J311&amp;"")&lt;&gt;"—",LEN(TRIM(O311&amp;""))&gt;0,TRIM(O311&amp;"")&lt;&gt;"—"),"PASS","⚠ FAIL — "&amp;"a required cell is empty/placeholder or wrong type")</f>
        <v>PASS</v>
      </c>
    </row>
    <row r="312" customFormat="false" ht="32.8" hidden="false" customHeight="false" outlineLevel="0" collapsed="false">
      <c r="A312" s="11" t="str">
        <f aca="false">'Part names'!$A$9</f>
        <v>X-142</v>
      </c>
      <c r="B312" s="68" t="str">
        <f aca="false">'Part names'!$B$9</f>
        <v>Cable Trays</v>
      </c>
      <c r="C312" s="28" t="n">
        <v>1</v>
      </c>
      <c r="D312" s="36" t="n">
        <v>45</v>
      </c>
      <c r="E312" s="36" t="n">
        <v>45</v>
      </c>
      <c r="F312" s="11" t="s">
        <v>429</v>
      </c>
      <c r="G312" s="15" t="s">
        <v>469</v>
      </c>
      <c r="H312" s="15" t="s">
        <v>421</v>
      </c>
      <c r="I312" s="11" t="n">
        <v>4</v>
      </c>
      <c r="J312" s="11" t="s">
        <v>432</v>
      </c>
      <c r="K312" s="15" t="s">
        <v>924</v>
      </c>
      <c r="L312" s="15" t="s">
        <v>425</v>
      </c>
      <c r="M312" s="15" t="s">
        <v>421</v>
      </c>
      <c r="N312" s="68" t="s">
        <v>925</v>
      </c>
      <c r="O312" s="69" t="str">
        <f aca="false">IF(AND(LEN(TRIM($B312&amp;""))&gt;0,ISNUMBER($C312),$C312&gt;0,ISNUMBER($D312),$D312&gt;0,ISNUMBER($E312),$E312&gt;0,ABS($E312-$C312*$D312)&lt;=MAX(1,0.005*ABS($E312)),LEN(TRIM($M312&amp;""))&gt;0,TRIM($M312&amp;"")&lt;&gt;"—",LEN(TRIM($P312&amp;""))=0),"PASS","FAIL — "&amp;IF(LEN(TRIM($P312&amp;""))&gt;0,TRIM($P312&amp;""),"line ≠ qty×unit, a required cell empty, or qty/£ non-positive"))</f>
        <v>PASS</v>
      </c>
      <c r="P312" s="70"/>
      <c r="Q312" s="16" t="str">
        <f aca="false">IF(AND(LEN(TRIM(A312&amp;""))&gt;0,TRIM(A312&amp;"")&lt;&gt;"—",LEN(TRIM(B312&amp;""))&gt;0,TRIM(B312&amp;"")&lt;&gt;"—",LEN(TRIM(C312&amp;""))&gt;0,TRIM(C312&amp;"")&lt;&gt;"—",ISNUMBER(C312),LEN(TRIM(D312&amp;""))&gt;0,TRIM(D312&amp;"")&lt;&gt;"—",ISNUMBER(D312),LEN(TRIM(E312&amp;""))&gt;0,TRIM(E312&amp;"")&lt;&gt;"—",ISNUMBER(E312),LEN(TRIM(F312&amp;""))&gt;0,TRIM(F312&amp;"")&lt;&gt;"—",LEN(TRIM(I312&amp;""))&gt;0,TRIM(I312&amp;"")&lt;&gt;"—",LEN(TRIM(J312&amp;""))&gt;0,TRIM(J312&amp;"")&lt;&gt;"—",LEN(TRIM(O312&amp;""))&gt;0,TRIM(O312&amp;"")&lt;&gt;"—"),"PASS","⚠ FAIL — "&amp;"a required cell is empty/placeholder or wrong type")</f>
        <v>PASS</v>
      </c>
    </row>
    <row r="313" customFormat="false" ht="32.8" hidden="false" customHeight="false" outlineLevel="0" collapsed="false">
      <c r="A313" s="11" t="str">
        <f aca="false">'Part names'!$A$66</f>
        <v>X-143</v>
      </c>
      <c r="B313" s="68" t="str">
        <f aca="false">'Part names'!$B$66</f>
        <v>Overcurrent Protection</v>
      </c>
      <c r="C313" s="28" t="n">
        <v>1</v>
      </c>
      <c r="D313" s="36" t="n">
        <v>3</v>
      </c>
      <c r="E313" s="36" t="n">
        <v>3</v>
      </c>
      <c r="F313" s="11" t="s">
        <v>436</v>
      </c>
      <c r="G313" s="15" t="s">
        <v>437</v>
      </c>
      <c r="H313" s="15" t="s">
        <v>438</v>
      </c>
      <c r="I313" s="11" t="n">
        <v>5</v>
      </c>
      <c r="J313" s="11" t="s">
        <v>432</v>
      </c>
      <c r="K313" s="15" t="s">
        <v>926</v>
      </c>
      <c r="L313" s="15" t="s">
        <v>425</v>
      </c>
      <c r="M313" s="15" t="s">
        <v>445</v>
      </c>
      <c r="N313" s="71" t="s">
        <v>435</v>
      </c>
      <c r="O313" s="69" t="str">
        <f aca="false">IF(AND(LEN(TRIM($B313&amp;""))&gt;0,ISNUMBER($C313),$C313&gt;0,ISNUMBER($D313),$D313&gt;0,ISNUMBER($E313),$E313&gt;0,ABS($E313-$C313*$D313)&lt;=MAX(1,0.005*ABS($E313)),LEN(TRIM($M313&amp;""))&gt;0,TRIM($M313&amp;"")&lt;&gt;"—",LEN(TRIM($P313&amp;""))=0),"PASS","FAIL — "&amp;IF(LEN(TRIM($P313&amp;""))&gt;0,TRIM($P313&amp;""),"line ≠ qty×unit, a required cell empty, or qty/£ non-positive"))</f>
        <v>PASS</v>
      </c>
      <c r="P313" s="70"/>
      <c r="Q313" s="16" t="str">
        <f aca="false">IF(AND(LEN(TRIM(A313&amp;""))&gt;0,TRIM(A313&amp;"")&lt;&gt;"—",LEN(TRIM(B313&amp;""))&gt;0,TRIM(B313&amp;"")&lt;&gt;"—",LEN(TRIM(C313&amp;""))&gt;0,TRIM(C313&amp;"")&lt;&gt;"—",ISNUMBER(C313),LEN(TRIM(D313&amp;""))&gt;0,TRIM(D313&amp;"")&lt;&gt;"—",ISNUMBER(D313),LEN(TRIM(E313&amp;""))&gt;0,TRIM(E313&amp;"")&lt;&gt;"—",ISNUMBER(E313),LEN(TRIM(F313&amp;""))&gt;0,TRIM(F313&amp;"")&lt;&gt;"—",LEN(TRIM(I313&amp;""))&gt;0,TRIM(I313&amp;"")&lt;&gt;"—",LEN(TRIM(J313&amp;""))&gt;0,TRIM(J313&amp;"")&lt;&gt;"—",LEN(TRIM(O313&amp;""))&gt;0,TRIM(O313&amp;"")&lt;&gt;"—"),"PASS","⚠ FAIL — "&amp;"a required cell is empty/placeholder or wrong type")</f>
        <v>PASS</v>
      </c>
    </row>
    <row r="314" customFormat="false" ht="32.8" hidden="false" customHeight="false" outlineLevel="0" collapsed="false">
      <c r="A314" s="11" t="str">
        <f aca="false">'Part names'!$A$49</f>
        <v>I-113</v>
      </c>
      <c r="B314" s="68" t="str">
        <f aca="false">'Part names'!$B$49</f>
        <v>Leak Detection Sensor</v>
      </c>
      <c r="C314" s="28" t="n">
        <v>1</v>
      </c>
      <c r="D314" s="36" t="n">
        <v>30</v>
      </c>
      <c r="E314" s="36" t="n">
        <v>30</v>
      </c>
      <c r="F314" s="11" t="s">
        <v>429</v>
      </c>
      <c r="G314" s="15" t="s">
        <v>469</v>
      </c>
      <c r="H314" s="15" t="s">
        <v>438</v>
      </c>
      <c r="I314" s="11" t="n">
        <v>4</v>
      </c>
      <c r="J314" s="11" t="s">
        <v>432</v>
      </c>
      <c r="K314" s="15" t="s">
        <v>927</v>
      </c>
      <c r="L314" s="15" t="s">
        <v>425</v>
      </c>
      <c r="M314" s="15" t="s">
        <v>445</v>
      </c>
      <c r="N314" s="71" t="s">
        <v>435</v>
      </c>
      <c r="O314" s="69" t="str">
        <f aca="false">IF(AND(LEN(TRIM($B314&amp;""))&gt;0,ISNUMBER($C314),$C314&gt;0,ISNUMBER($D314),$D314&gt;0,ISNUMBER($E314),$E314&gt;0,ABS($E314-$C314*$D314)&lt;=MAX(1,0.005*ABS($E314)),LEN(TRIM($M314&amp;""))&gt;0,TRIM($M314&amp;"")&lt;&gt;"—",LEN(TRIM($P314&amp;""))=0),"PASS","FAIL — "&amp;IF(LEN(TRIM($P314&amp;""))&gt;0,TRIM($P314&amp;""),"line ≠ qty×unit, a required cell empty, or qty/£ non-positive"))</f>
        <v>PASS</v>
      </c>
      <c r="P314" s="70"/>
      <c r="Q314" s="16" t="str">
        <f aca="false">IF(AND(LEN(TRIM(A314&amp;""))&gt;0,TRIM(A314&amp;"")&lt;&gt;"—",LEN(TRIM(B314&amp;""))&gt;0,TRIM(B314&amp;"")&lt;&gt;"—",LEN(TRIM(C314&amp;""))&gt;0,TRIM(C314&amp;"")&lt;&gt;"—",ISNUMBER(C314),LEN(TRIM(D314&amp;""))&gt;0,TRIM(D314&amp;"")&lt;&gt;"—",ISNUMBER(D314),LEN(TRIM(E314&amp;""))&gt;0,TRIM(E314&amp;"")&lt;&gt;"—",ISNUMBER(E314),LEN(TRIM(F314&amp;""))&gt;0,TRIM(F314&amp;"")&lt;&gt;"—",LEN(TRIM(I314&amp;""))&gt;0,TRIM(I314&amp;"")&lt;&gt;"—",LEN(TRIM(J314&amp;""))&gt;0,TRIM(J314&amp;"")&lt;&gt;"—",LEN(TRIM(O314&amp;""))&gt;0,TRIM(O314&amp;"")&lt;&gt;"—"),"PASS","⚠ FAIL — "&amp;"a required cell is empty/placeholder or wrong type")</f>
        <v>PASS</v>
      </c>
    </row>
    <row r="315" customFormat="false" ht="32.8" hidden="false" customHeight="false" outlineLevel="0" collapsed="false">
      <c r="A315" s="11" t="str">
        <f aca="false">'Part names'!$A$62</f>
        <v>X-145</v>
      </c>
      <c r="B315" s="68" t="str">
        <f aca="false">'Part names'!$B$62</f>
        <v>Motor Overload Protection</v>
      </c>
      <c r="C315" s="28" t="n">
        <v>1</v>
      </c>
      <c r="D315" s="36" t="n">
        <v>345</v>
      </c>
      <c r="E315" s="36" t="n">
        <v>345</v>
      </c>
      <c r="F315" s="11" t="s">
        <v>421</v>
      </c>
      <c r="G315" s="15" t="s">
        <v>928</v>
      </c>
      <c r="H315" s="15" t="s">
        <v>929</v>
      </c>
      <c r="I315" s="11" t="n">
        <v>4</v>
      </c>
      <c r="J315" s="11" t="s">
        <v>453</v>
      </c>
      <c r="K315" s="15" t="s">
        <v>930</v>
      </c>
      <c r="L315" s="15" t="s">
        <v>425</v>
      </c>
      <c r="M315" s="15" t="s">
        <v>931</v>
      </c>
      <c r="N315" s="68" t="s">
        <v>932</v>
      </c>
      <c r="O315" s="69" t="str">
        <f aca="false">IF(AND(LEN(TRIM($B315&amp;""))&gt;0,ISNUMBER($C315),$C315&gt;0,ISNUMBER($D315),$D315&gt;0,ISNUMBER($E315),$E315&gt;0,ABS($E315-$C315*$D315)&lt;=MAX(1,0.005*ABS($E315)),LEN(TRIM($M315&amp;""))&gt;0,TRIM($M315&amp;"")&lt;&gt;"—",LEN(TRIM($P315&amp;""))=0),"PASS","FAIL — "&amp;IF(LEN(TRIM($P315&amp;""))&gt;0,TRIM($P315&amp;""),"line ≠ qty×unit, a required cell empty, or qty/£ non-positive"))</f>
        <v>PASS</v>
      </c>
      <c r="P315" s="70"/>
      <c r="Q315" s="16" t="str">
        <f aca="false">IF(AND(LEN(TRIM(A315&amp;""))&gt;0,TRIM(A315&amp;"")&lt;&gt;"—",LEN(TRIM(B315&amp;""))&gt;0,TRIM(B315&amp;"")&lt;&gt;"—",LEN(TRIM(C315&amp;""))&gt;0,TRIM(C315&amp;"")&lt;&gt;"—",ISNUMBER(C315),LEN(TRIM(D315&amp;""))&gt;0,TRIM(D315&amp;"")&lt;&gt;"—",ISNUMBER(D315),LEN(TRIM(E315&amp;""))&gt;0,TRIM(E315&amp;"")&lt;&gt;"—",ISNUMBER(E315),LEN(TRIM(F315&amp;""))&gt;0,TRIM(F315&amp;"")&lt;&gt;"—",LEN(TRIM(I315&amp;""))&gt;0,TRIM(I315&amp;"")&lt;&gt;"—",LEN(TRIM(J315&amp;""))&gt;0,TRIM(J315&amp;"")&lt;&gt;"—",LEN(TRIM(O315&amp;""))&gt;0,TRIM(O315&amp;"")&lt;&gt;"—"),"PASS","⚠ FAIL — "&amp;"a required cell is empty/placeholder or wrong type")</f>
        <v>PASS</v>
      </c>
    </row>
    <row r="316" customFormat="false" ht="32.8" hidden="false" customHeight="false" outlineLevel="0" collapsed="false">
      <c r="A316" s="11" t="str">
        <f aca="false">'Part names'!$A$13</f>
        <v>X-146</v>
      </c>
      <c r="B316" s="68" t="str">
        <f aca="false">'Part names'!$B$13</f>
        <v>Cip System Connections</v>
      </c>
      <c r="C316" s="28" t="n">
        <v>1</v>
      </c>
      <c r="D316" s="36" t="n">
        <v>72</v>
      </c>
      <c r="E316" s="36" t="n">
        <v>72</v>
      </c>
      <c r="F316" s="11" t="s">
        <v>429</v>
      </c>
      <c r="G316" s="15" t="s">
        <v>933</v>
      </c>
      <c r="H316" s="15" t="s">
        <v>934</v>
      </c>
      <c r="I316" s="11" t="n">
        <v>4</v>
      </c>
      <c r="J316" s="11" t="s">
        <v>432</v>
      </c>
      <c r="K316" s="15" t="s">
        <v>935</v>
      </c>
      <c r="L316" s="15" t="s">
        <v>425</v>
      </c>
      <c r="M316" s="15" t="s">
        <v>936</v>
      </c>
      <c r="N316" s="71" t="s">
        <v>435</v>
      </c>
      <c r="O316" s="69" t="str">
        <f aca="false">IF(AND(LEN(TRIM($B316&amp;""))&gt;0,ISNUMBER($C316),$C316&gt;0,ISNUMBER($D316),$D316&gt;0,ISNUMBER($E316),$E316&gt;0,ABS($E316-$C316*$D316)&lt;=MAX(1,0.005*ABS($E316)),LEN(TRIM($M316&amp;""))&gt;0,TRIM($M316&amp;"")&lt;&gt;"—",LEN(TRIM($P316&amp;""))=0),"PASS","FAIL — "&amp;IF(LEN(TRIM($P316&amp;""))&gt;0,TRIM($P316&amp;""),"line ≠ qty×unit, a required cell empty, or qty/£ non-positive"))</f>
        <v>PASS</v>
      </c>
      <c r="P316" s="70"/>
      <c r="Q316" s="16" t="str">
        <f aca="false">IF(AND(LEN(TRIM(A316&amp;""))&gt;0,TRIM(A316&amp;"")&lt;&gt;"—",LEN(TRIM(B316&amp;""))&gt;0,TRIM(B316&amp;"")&lt;&gt;"—",LEN(TRIM(C316&amp;""))&gt;0,TRIM(C316&amp;"")&lt;&gt;"—",ISNUMBER(C316),LEN(TRIM(D316&amp;""))&gt;0,TRIM(D316&amp;"")&lt;&gt;"—",ISNUMBER(D316),LEN(TRIM(E316&amp;""))&gt;0,TRIM(E316&amp;"")&lt;&gt;"—",ISNUMBER(E316),LEN(TRIM(F316&amp;""))&gt;0,TRIM(F316&amp;"")&lt;&gt;"—",LEN(TRIM(I316&amp;""))&gt;0,TRIM(I316&amp;"")&lt;&gt;"—",LEN(TRIM(J316&amp;""))&gt;0,TRIM(J316&amp;"")&lt;&gt;"—",LEN(TRIM(O316&amp;""))&gt;0,TRIM(O316&amp;"")&lt;&gt;"—"),"PASS","⚠ FAIL — "&amp;"a required cell is empty/placeholder or wrong type")</f>
        <v>PASS</v>
      </c>
    </row>
    <row r="317" customFormat="false" ht="32.8" hidden="false" customHeight="false" outlineLevel="0" collapsed="false">
      <c r="A317" s="11" t="str">
        <f aca="false">'Part names'!$A$5</f>
        <v>X-147</v>
      </c>
      <c r="B317" s="68" t="str">
        <f aca="false">'Part names'!$B$5</f>
        <v>3 Part Union Fittings</v>
      </c>
      <c r="C317" s="28" t="n">
        <v>1</v>
      </c>
      <c r="D317" s="36" t="n">
        <v>9</v>
      </c>
      <c r="E317" s="36" t="n">
        <v>9</v>
      </c>
      <c r="F317" s="11" t="s">
        <v>436</v>
      </c>
      <c r="G317" s="15" t="s">
        <v>437</v>
      </c>
      <c r="H317" s="15" t="s">
        <v>438</v>
      </c>
      <c r="I317" s="11" t="n">
        <v>5</v>
      </c>
      <c r="J317" s="11" t="s">
        <v>432</v>
      </c>
      <c r="K317" s="15" t="s">
        <v>937</v>
      </c>
      <c r="L317" s="15" t="s">
        <v>425</v>
      </c>
      <c r="M317" s="15" t="s">
        <v>445</v>
      </c>
      <c r="N317" s="15" t="s">
        <v>441</v>
      </c>
      <c r="O317" s="69" t="str">
        <f aca="false">IF(AND(LEN(TRIM($B317&amp;""))&gt;0,ISNUMBER($C317),$C317&gt;0,ISNUMBER($D317),$D317&gt;0,ISNUMBER($E317),$E317&gt;0,ABS($E317-$C317*$D317)&lt;=MAX(1,0.005*ABS($E317)),LEN(TRIM($M317&amp;""))&gt;0,TRIM($M317&amp;"")&lt;&gt;"—",LEN(TRIM($P317&amp;""))=0),"PASS","FAIL — "&amp;IF(LEN(TRIM($P317&amp;""))&gt;0,TRIM($P317&amp;""),"line ≠ qty×unit, a required cell empty, or qty/£ non-positive"))</f>
        <v>PASS</v>
      </c>
      <c r="P317" s="70"/>
      <c r="Q317" s="16" t="str">
        <f aca="false">IF(AND(LEN(TRIM(A317&amp;""))&gt;0,TRIM(A317&amp;"")&lt;&gt;"—",LEN(TRIM(B317&amp;""))&gt;0,TRIM(B317&amp;"")&lt;&gt;"—",LEN(TRIM(C317&amp;""))&gt;0,TRIM(C317&amp;"")&lt;&gt;"—",ISNUMBER(C317),LEN(TRIM(D317&amp;""))&gt;0,TRIM(D317&amp;"")&lt;&gt;"—",ISNUMBER(D317),LEN(TRIM(E317&amp;""))&gt;0,TRIM(E317&amp;"")&lt;&gt;"—",ISNUMBER(E317),LEN(TRIM(F317&amp;""))&gt;0,TRIM(F317&amp;"")&lt;&gt;"—",LEN(TRIM(I317&amp;""))&gt;0,TRIM(I317&amp;"")&lt;&gt;"—",LEN(TRIM(J317&amp;""))&gt;0,TRIM(J317&amp;"")&lt;&gt;"—",LEN(TRIM(O317&amp;""))&gt;0,TRIM(O317&amp;"")&lt;&gt;"—"),"PASS","⚠ FAIL — "&amp;"a required cell is empty/placeholder or wrong type")</f>
        <v>PASS</v>
      </c>
    </row>
    <row r="318" customFormat="false" ht="32.8" hidden="false" customHeight="false" outlineLevel="0" collapsed="false">
      <c r="A318" s="11" t="str">
        <f aca="false">'Part names'!$A$59</f>
        <v>X-148</v>
      </c>
      <c r="B318" s="68" t="str">
        <f aca="false">'Part names'!$B$59</f>
        <v>Modular Stack Design</v>
      </c>
      <c r="C318" s="28" t="n">
        <v>1</v>
      </c>
      <c r="D318" s="36" t="n">
        <v>15</v>
      </c>
      <c r="E318" s="36" t="n">
        <v>15</v>
      </c>
      <c r="F318" s="11" t="s">
        <v>436</v>
      </c>
      <c r="G318" s="15" t="s">
        <v>437</v>
      </c>
      <c r="H318" s="15" t="s">
        <v>438</v>
      </c>
      <c r="I318" s="11" t="n">
        <v>5</v>
      </c>
      <c r="J318" s="11" t="s">
        <v>432</v>
      </c>
      <c r="K318" s="15" t="s">
        <v>938</v>
      </c>
      <c r="L318" s="15" t="s">
        <v>425</v>
      </c>
      <c r="M318" s="15" t="s">
        <v>445</v>
      </c>
      <c r="N318" s="71" t="s">
        <v>435</v>
      </c>
      <c r="O318" s="69" t="str">
        <f aca="false">IF(AND(LEN(TRIM($B318&amp;""))&gt;0,ISNUMBER($C318),$C318&gt;0,ISNUMBER($D318),$D318&gt;0,ISNUMBER($E318),$E318&gt;0,ABS($E318-$C318*$D318)&lt;=MAX(1,0.005*ABS($E318)),LEN(TRIM($M318&amp;""))&gt;0,TRIM($M318&amp;"")&lt;&gt;"—",LEN(TRIM($P318&amp;""))=0),"PASS","FAIL — "&amp;IF(LEN(TRIM($P318&amp;""))&gt;0,TRIM($P318&amp;""),"line ≠ qty×unit, a required cell empty, or qty/£ non-positive"))</f>
        <v>PASS</v>
      </c>
      <c r="P318" s="70"/>
      <c r="Q318" s="16" t="str">
        <f aca="false">IF(AND(LEN(TRIM(A318&amp;""))&gt;0,TRIM(A318&amp;"")&lt;&gt;"—",LEN(TRIM(B318&amp;""))&gt;0,TRIM(B318&amp;"")&lt;&gt;"—",LEN(TRIM(C318&amp;""))&gt;0,TRIM(C318&amp;"")&lt;&gt;"—",ISNUMBER(C318),LEN(TRIM(D318&amp;""))&gt;0,TRIM(D318&amp;"")&lt;&gt;"—",ISNUMBER(D318),LEN(TRIM(E318&amp;""))&gt;0,TRIM(E318&amp;"")&lt;&gt;"—",ISNUMBER(E318),LEN(TRIM(F318&amp;""))&gt;0,TRIM(F318&amp;"")&lt;&gt;"—",LEN(TRIM(I318&amp;""))&gt;0,TRIM(I318&amp;"")&lt;&gt;"—",LEN(TRIM(J318&amp;""))&gt;0,TRIM(J318&amp;"")&lt;&gt;"—",LEN(TRIM(O318&amp;""))&gt;0,TRIM(O318&amp;"")&lt;&gt;"—"),"PASS","⚠ FAIL — "&amp;"a required cell is empty/placeholder or wrong type")</f>
        <v>PASS</v>
      </c>
    </row>
    <row r="319" customFormat="false" ht="32.8" hidden="false" customHeight="false" outlineLevel="0" collapsed="false">
      <c r="A319" s="11" t="str">
        <f aca="false">'Part names'!$A$8</f>
        <v>X-149</v>
      </c>
      <c r="B319" s="68" t="str">
        <f aca="false">'Part names'!$B$8</f>
        <v>Cable Glands</v>
      </c>
      <c r="C319" s="28" t="n">
        <v>1</v>
      </c>
      <c r="D319" s="36" t="n">
        <v>2</v>
      </c>
      <c r="E319" s="36" t="n">
        <v>2</v>
      </c>
      <c r="F319" s="11" t="s">
        <v>429</v>
      </c>
      <c r="G319" s="15" t="s">
        <v>469</v>
      </c>
      <c r="H319" s="15" t="s">
        <v>438</v>
      </c>
      <c r="I319" s="11" t="n">
        <v>4</v>
      </c>
      <c r="J319" s="11" t="s">
        <v>453</v>
      </c>
      <c r="K319" s="15" t="s">
        <v>939</v>
      </c>
      <c r="L319" s="15" t="s">
        <v>425</v>
      </c>
      <c r="M319" s="15" t="s">
        <v>445</v>
      </c>
      <c r="N319" s="68" t="s">
        <v>940</v>
      </c>
      <c r="O319" s="69" t="str">
        <f aca="false">IF(AND(LEN(TRIM($B319&amp;""))&gt;0,ISNUMBER($C319),$C319&gt;0,ISNUMBER($D319),$D319&gt;0,ISNUMBER($E319),$E319&gt;0,ABS($E319-$C319*$D319)&lt;=MAX(1,0.005*ABS($E319)),LEN(TRIM($M319&amp;""))&gt;0,TRIM($M319&amp;"")&lt;&gt;"—",LEN(TRIM($P319&amp;""))=0),"PASS","FAIL — "&amp;IF(LEN(TRIM($P319&amp;""))&gt;0,TRIM($P319&amp;""),"line ≠ qty×unit, a required cell empty, or qty/£ non-positive"))</f>
        <v>PASS</v>
      </c>
      <c r="P319" s="70"/>
      <c r="Q319" s="16" t="str">
        <f aca="false">IF(AND(LEN(TRIM(A319&amp;""))&gt;0,TRIM(A319&amp;"")&lt;&gt;"—",LEN(TRIM(B319&amp;""))&gt;0,TRIM(B319&amp;"")&lt;&gt;"—",LEN(TRIM(C319&amp;""))&gt;0,TRIM(C319&amp;"")&lt;&gt;"—",ISNUMBER(C319),LEN(TRIM(D319&amp;""))&gt;0,TRIM(D319&amp;"")&lt;&gt;"—",ISNUMBER(D319),LEN(TRIM(E319&amp;""))&gt;0,TRIM(E319&amp;"")&lt;&gt;"—",ISNUMBER(E319),LEN(TRIM(F319&amp;""))&gt;0,TRIM(F319&amp;"")&lt;&gt;"—",LEN(TRIM(I319&amp;""))&gt;0,TRIM(I319&amp;"")&lt;&gt;"—",LEN(TRIM(J319&amp;""))&gt;0,TRIM(J319&amp;"")&lt;&gt;"—",LEN(TRIM(O319&amp;""))&gt;0,TRIM(O319&amp;"")&lt;&gt;"—"),"PASS","⚠ FAIL — "&amp;"a required cell is empty/placeholder or wrong type")</f>
        <v>PASS</v>
      </c>
    </row>
    <row r="320" customFormat="false" ht="32.8" hidden="false" customHeight="false" outlineLevel="0" collapsed="false">
      <c r="A320" s="11" t="str">
        <f aca="false">'Part names'!$A$12</f>
        <v>X-101</v>
      </c>
      <c r="B320" s="68" t="str">
        <f aca="false">'Part names'!$B$12</f>
        <v>Cip System</v>
      </c>
      <c r="C320" s="28" t="n">
        <v>1</v>
      </c>
      <c r="D320" s="36" t="n">
        <v>218</v>
      </c>
      <c r="E320" s="36" t="n">
        <v>218</v>
      </c>
      <c r="F320" s="11" t="s">
        <v>429</v>
      </c>
      <c r="G320" s="15" t="s">
        <v>469</v>
      </c>
      <c r="H320" s="15" t="s">
        <v>438</v>
      </c>
      <c r="I320" s="11" t="n">
        <v>4</v>
      </c>
      <c r="J320" s="11" t="s">
        <v>432</v>
      </c>
      <c r="K320" s="15" t="s">
        <v>941</v>
      </c>
      <c r="L320" s="15" t="s">
        <v>425</v>
      </c>
      <c r="M320" s="15" t="s">
        <v>445</v>
      </c>
      <c r="N320" s="71" t="s">
        <v>435</v>
      </c>
      <c r="O320" s="69" t="str">
        <f aca="false">IF(AND(LEN(TRIM($B320&amp;""))&gt;0,ISNUMBER($C320),$C320&gt;0,ISNUMBER($D320),$D320&gt;0,ISNUMBER($E320),$E320&gt;0,ABS($E320-$C320*$D320)&lt;=MAX(1,0.005*ABS($E320)),LEN(TRIM($M320&amp;""))&gt;0,TRIM($M320&amp;"")&lt;&gt;"—",LEN(TRIM($P320&amp;""))=0),"PASS","FAIL — "&amp;IF(LEN(TRIM($P320&amp;""))&gt;0,TRIM($P320&amp;""),"line ≠ qty×unit, a required cell empty, or qty/£ non-positive"))</f>
        <v>PASS</v>
      </c>
      <c r="P320" s="70"/>
      <c r="Q320" s="16" t="str">
        <f aca="false">IF(AND(LEN(TRIM(A320&amp;""))&gt;0,TRIM(A320&amp;"")&lt;&gt;"—",LEN(TRIM(B320&amp;""))&gt;0,TRIM(B320&amp;"")&lt;&gt;"—",LEN(TRIM(C320&amp;""))&gt;0,TRIM(C320&amp;"")&lt;&gt;"—",ISNUMBER(C320),LEN(TRIM(D320&amp;""))&gt;0,TRIM(D320&amp;"")&lt;&gt;"—",ISNUMBER(D320),LEN(TRIM(E320&amp;""))&gt;0,TRIM(E320&amp;"")&lt;&gt;"—",ISNUMBER(E320),LEN(TRIM(F320&amp;""))&gt;0,TRIM(F320&amp;"")&lt;&gt;"—",LEN(TRIM(I320&amp;""))&gt;0,TRIM(I320&amp;"")&lt;&gt;"—",LEN(TRIM(J320&amp;""))&gt;0,TRIM(J320&amp;"")&lt;&gt;"—",LEN(TRIM(O320&amp;""))&gt;0,TRIM(O320&amp;"")&lt;&gt;"—"),"PASS","⚠ FAIL — "&amp;"a required cell is empty/placeholder or wrong type")</f>
        <v>PASS</v>
      </c>
    </row>
    <row r="321" customFormat="false" ht="53.7" hidden="false" customHeight="false" outlineLevel="0" collapsed="true">
      <c r="A321" s="11" t="str">
        <f aca="false">'Part names'!$A$14</f>
        <v>TK-102 / TK-101</v>
      </c>
      <c r="B321" s="68" t="str">
        <f aca="false">'Part names'!$B$14 &amp; "  · 1.4 m dia x 1.3 m"</f>
        <v>Cip Tank  · 1.4 m dia x 1.3 m</v>
      </c>
      <c r="C321" s="28" t="n">
        <v>2</v>
      </c>
      <c r="D321" s="36" t="n">
        <v>4000</v>
      </c>
      <c r="E321" s="36" t="n">
        <v>8000</v>
      </c>
      <c r="F321" s="11" t="s">
        <v>429</v>
      </c>
      <c r="G321" s="15" t="s">
        <v>942</v>
      </c>
      <c r="H321" s="15" t="s">
        <v>943</v>
      </c>
      <c r="I321" s="11" t="n">
        <v>4</v>
      </c>
      <c r="J321" s="11" t="s">
        <v>432</v>
      </c>
      <c r="K321" s="15" t="s">
        <v>944</v>
      </c>
      <c r="L321" s="68" t="s">
        <v>602</v>
      </c>
      <c r="M321" s="15" t="s">
        <v>945</v>
      </c>
      <c r="N321" s="68" t="s">
        <v>476</v>
      </c>
      <c r="O321" s="69" t="str">
        <f aca="false">IF(AND(LEN(TRIM($B321&amp;""))&gt;0,ISNUMBER($C321),$C321&gt;0,ISNUMBER($D321),$D321&gt;0,ISNUMBER($E321),$E321&gt;0,ABS($E321-$C321*$D321)&lt;=MAX(1,0.005*ABS($E321)),LEN(TRIM($M321&amp;""))&gt;0,TRIM($M321&amp;"")&lt;&gt;"—",LEN(TRIM($P321&amp;""))=0),"PASS","FAIL — "&amp;IF(LEN(TRIM($P321&amp;""))&gt;0,TRIM($P321&amp;""),"line ≠ qty×unit, a required cell empty, or qty/£ non-positive"))</f>
        <v>PASS</v>
      </c>
      <c r="P321" s="70"/>
      <c r="Q321" s="16" t="str">
        <f aca="false">IF(AND(LEN(TRIM(A321&amp;""))&gt;0,TRIM(A321&amp;"")&lt;&gt;"—",LEN(TRIM(B321&amp;""))&gt;0,TRIM(B321&amp;"")&lt;&gt;"—",LEN(TRIM(C321&amp;""))&gt;0,TRIM(C321&amp;"")&lt;&gt;"—",ISNUMBER(C321),LEN(TRIM(D321&amp;""))&gt;0,TRIM(D321&amp;"")&lt;&gt;"—",ISNUMBER(D321),LEN(TRIM(E321&amp;""))&gt;0,TRIM(E321&amp;"")&lt;&gt;"—",ISNUMBER(E321),LEN(TRIM(F321&amp;""))&gt;0,TRIM(F321&amp;"")&lt;&gt;"—",LEN(TRIM(I321&amp;""))&gt;0,TRIM(I321&amp;"")&lt;&gt;"—",LEN(TRIM(J321&amp;""))&gt;0,TRIM(J321&amp;"")&lt;&gt;"—",LEN(TRIM(O321&amp;""))&gt;0,TRIM(O321&amp;"")&lt;&gt;"—"),"PASS","⚠ FAIL — "&amp;"a required cell is empty/placeholder or wrong type")</f>
        <v>PASS</v>
      </c>
    </row>
    <row r="322" customFormat="false" ht="15" hidden="true" customHeight="false" outlineLevel="1" collapsed="false">
      <c r="A322" s="11" t="s">
        <v>946</v>
      </c>
      <c r="B322" s="68" t="s">
        <v>605</v>
      </c>
      <c r="C322" s="28" t="n">
        <v>1</v>
      </c>
      <c r="D322" s="11" t="s">
        <v>479</v>
      </c>
      <c r="E322" s="11" t="s">
        <v>480</v>
      </c>
      <c r="F322" s="11" t="s">
        <v>429</v>
      </c>
      <c r="G322" s="15" t="s">
        <v>481</v>
      </c>
      <c r="H322" s="15"/>
      <c r="I322" s="11" t="n">
        <v>4</v>
      </c>
      <c r="J322" s="11" t="s">
        <v>432</v>
      </c>
      <c r="O322" s="69" t="str">
        <f aca="false">IF(AND(LEN(TRIM($B322&amp;""))&gt;0,LEN(TRIM($P322&amp;""))=0),"PASS","FAIL — "&amp;IF(LEN(TRIM($P322&amp;""))&gt;0,TRIM($P322&amp;""),"line ≠ qty×unit, a required cell empty, or qty/£ non-positive"))</f>
        <v>PASS</v>
      </c>
      <c r="P322" s="70"/>
      <c r="Q322" s="16" t="str">
        <f aca="false">IF(AND(LEN(TRIM(B322&amp;""))&gt;0,TRIM(B322&amp;"")&lt;&gt;"—",LEN(TRIM(C322&amp;""))&gt;0,TRIM(C322&amp;"")&lt;&gt;"—",ISNUMBER(C322),LEN(TRIM(F322&amp;""))&gt;0,TRIM(F322&amp;"")&lt;&gt;"—",LEN(TRIM(I322&amp;""))&gt;0,TRIM(I322&amp;"")&lt;&gt;"—",LEN(TRIM(J322&amp;""))&gt;0,TRIM(J322&amp;"")&lt;&gt;"—",LEN(TRIM(O322&amp;""))&gt;0,TRIM(O322&amp;"")&lt;&gt;"—"),"PASS","⚠ FAIL — "&amp;"a required cell is empty/placeholder or wrong type")</f>
        <v>PASS</v>
      </c>
    </row>
    <row r="323" customFormat="false" ht="15" hidden="true" customHeight="false" outlineLevel="1" collapsed="false">
      <c r="A323" s="11" t="s">
        <v>947</v>
      </c>
      <c r="B323" s="68" t="s">
        <v>607</v>
      </c>
      <c r="C323" s="28" t="n">
        <v>1</v>
      </c>
      <c r="D323" s="11" t="s">
        <v>479</v>
      </c>
      <c r="E323" s="11" t="s">
        <v>480</v>
      </c>
      <c r="F323" s="11" t="s">
        <v>429</v>
      </c>
      <c r="G323" s="15" t="s">
        <v>481</v>
      </c>
      <c r="H323" s="15"/>
      <c r="I323" s="11" t="n">
        <v>4</v>
      </c>
      <c r="J323" s="11" t="s">
        <v>432</v>
      </c>
      <c r="O323" s="69" t="str">
        <f aca="false">IF(AND(LEN(TRIM($B323&amp;""))&gt;0,LEN(TRIM($P323&amp;""))=0),"PASS","FAIL — "&amp;IF(LEN(TRIM($P323&amp;""))&gt;0,TRIM($P323&amp;""),"line ≠ qty×unit, a required cell empty, or qty/£ non-positive"))</f>
        <v>PASS</v>
      </c>
      <c r="P323" s="70"/>
      <c r="Q323" s="16" t="str">
        <f aca="false">IF(AND(LEN(TRIM(B323&amp;""))&gt;0,TRIM(B323&amp;"")&lt;&gt;"—",LEN(TRIM(C323&amp;""))&gt;0,TRIM(C323&amp;"")&lt;&gt;"—",ISNUMBER(C323),LEN(TRIM(F323&amp;""))&gt;0,TRIM(F323&amp;"")&lt;&gt;"—",LEN(TRIM(I323&amp;""))&gt;0,TRIM(I323&amp;"")&lt;&gt;"—",LEN(TRIM(J323&amp;""))&gt;0,TRIM(J323&amp;"")&lt;&gt;"—",LEN(TRIM(O323&amp;""))&gt;0,TRIM(O323&amp;"")&lt;&gt;"—"),"PASS","⚠ FAIL — "&amp;"a required cell is empty/placeholder or wrong type")</f>
        <v>PASS</v>
      </c>
    </row>
    <row r="324" customFormat="false" ht="15" hidden="true" customHeight="false" outlineLevel="1" collapsed="false">
      <c r="A324" s="11" t="s">
        <v>948</v>
      </c>
      <c r="B324" s="68" t="s">
        <v>609</v>
      </c>
      <c r="C324" s="28" t="n">
        <v>1</v>
      </c>
      <c r="D324" s="11" t="s">
        <v>479</v>
      </c>
      <c r="E324" s="11" t="s">
        <v>480</v>
      </c>
      <c r="F324" s="11" t="s">
        <v>436</v>
      </c>
      <c r="G324" s="15" t="s">
        <v>481</v>
      </c>
      <c r="H324" s="15"/>
      <c r="I324" s="11" t="n">
        <v>5</v>
      </c>
      <c r="J324" s="11" t="s">
        <v>432</v>
      </c>
      <c r="O324" s="69" t="str">
        <f aca="false">IF(AND(LEN(TRIM($B324&amp;""))&gt;0,LEN(TRIM($P324&amp;""))=0),"PASS","FAIL — "&amp;IF(LEN(TRIM($P324&amp;""))&gt;0,TRIM($P324&amp;""),"line ≠ qty×unit, a required cell empty, or qty/£ non-positive"))</f>
        <v>PASS</v>
      </c>
      <c r="P324" s="70"/>
      <c r="Q324" s="16" t="str">
        <f aca="false">IF(AND(LEN(TRIM(B324&amp;""))&gt;0,TRIM(B324&amp;"")&lt;&gt;"—",LEN(TRIM(C324&amp;""))&gt;0,TRIM(C324&amp;"")&lt;&gt;"—",ISNUMBER(C324),LEN(TRIM(F324&amp;""))&gt;0,TRIM(F324&amp;"")&lt;&gt;"—",LEN(TRIM(I324&amp;""))&gt;0,TRIM(I324&amp;"")&lt;&gt;"—",LEN(TRIM(J324&amp;""))&gt;0,TRIM(J324&amp;"")&lt;&gt;"—",LEN(TRIM(O324&amp;""))&gt;0,TRIM(O324&amp;"")&lt;&gt;"—"),"PASS","⚠ FAIL — "&amp;"a required cell is empty/placeholder or wrong type")</f>
        <v>PASS</v>
      </c>
    </row>
    <row r="325" customFormat="false" ht="15" hidden="true" customHeight="false" outlineLevel="1" collapsed="false">
      <c r="A325" s="11" t="s">
        <v>949</v>
      </c>
      <c r="B325" s="68" t="s">
        <v>611</v>
      </c>
      <c r="C325" s="28" t="n">
        <v>1</v>
      </c>
      <c r="D325" s="11" t="s">
        <v>479</v>
      </c>
      <c r="E325" s="11" t="s">
        <v>480</v>
      </c>
      <c r="F325" s="11" t="s">
        <v>436</v>
      </c>
      <c r="G325" s="15" t="s">
        <v>481</v>
      </c>
      <c r="H325" s="15"/>
      <c r="I325" s="11" t="n">
        <v>5</v>
      </c>
      <c r="J325" s="11" t="s">
        <v>432</v>
      </c>
      <c r="O325" s="69" t="str">
        <f aca="false">IF(AND(LEN(TRIM($B325&amp;""))&gt;0,LEN(TRIM($P325&amp;""))=0),"PASS","FAIL — "&amp;IF(LEN(TRIM($P325&amp;""))&gt;0,TRIM($P325&amp;""),"line ≠ qty×unit, a required cell empty, or qty/£ non-positive"))</f>
        <v>PASS</v>
      </c>
      <c r="P325" s="70"/>
      <c r="Q325" s="16" t="str">
        <f aca="false">IF(AND(LEN(TRIM(B325&amp;""))&gt;0,TRIM(B325&amp;"")&lt;&gt;"—",LEN(TRIM(C325&amp;""))&gt;0,TRIM(C325&amp;"")&lt;&gt;"—",ISNUMBER(C325),LEN(TRIM(F325&amp;""))&gt;0,TRIM(F325&amp;"")&lt;&gt;"—",LEN(TRIM(I325&amp;""))&gt;0,TRIM(I325&amp;"")&lt;&gt;"—",LEN(TRIM(J325&amp;""))&gt;0,TRIM(J325&amp;"")&lt;&gt;"—",LEN(TRIM(O325&amp;""))&gt;0,TRIM(O325&amp;"")&lt;&gt;"—"),"PASS","⚠ FAIL — "&amp;"a required cell is empty/placeholder or wrong type")</f>
        <v>PASS</v>
      </c>
    </row>
    <row r="326" customFormat="false" ht="15" hidden="true" customHeight="false" outlineLevel="1" collapsed="false">
      <c r="A326" s="11" t="s">
        <v>950</v>
      </c>
      <c r="B326" s="68" t="s">
        <v>613</v>
      </c>
      <c r="C326" s="28" t="n">
        <v>1</v>
      </c>
      <c r="D326" s="11" t="s">
        <v>479</v>
      </c>
      <c r="E326" s="11" t="s">
        <v>480</v>
      </c>
      <c r="F326" s="11" t="s">
        <v>436</v>
      </c>
      <c r="G326" s="15" t="s">
        <v>481</v>
      </c>
      <c r="H326" s="15"/>
      <c r="I326" s="11" t="n">
        <v>5</v>
      </c>
      <c r="J326" s="11" t="s">
        <v>432</v>
      </c>
      <c r="O326" s="69" t="str">
        <f aca="false">IF(AND(LEN(TRIM($B326&amp;""))&gt;0,LEN(TRIM($P326&amp;""))=0),"PASS","FAIL — "&amp;IF(LEN(TRIM($P326&amp;""))&gt;0,TRIM($P326&amp;""),"line ≠ qty×unit, a required cell empty, or qty/£ non-positive"))</f>
        <v>PASS</v>
      </c>
      <c r="P326" s="70"/>
      <c r="Q326" s="16" t="str">
        <f aca="false">IF(AND(LEN(TRIM(B326&amp;""))&gt;0,TRIM(B326&amp;"")&lt;&gt;"—",LEN(TRIM(C326&amp;""))&gt;0,TRIM(C326&amp;"")&lt;&gt;"—",ISNUMBER(C326),LEN(TRIM(F326&amp;""))&gt;0,TRIM(F326&amp;"")&lt;&gt;"—",LEN(TRIM(I326&amp;""))&gt;0,TRIM(I326&amp;"")&lt;&gt;"—",LEN(TRIM(J326&amp;""))&gt;0,TRIM(J326&amp;"")&lt;&gt;"—",LEN(TRIM(O326&amp;""))&gt;0,TRIM(O326&amp;"")&lt;&gt;"—"),"PASS","⚠ FAIL — "&amp;"a required cell is empty/placeholder or wrong type")</f>
        <v>PASS</v>
      </c>
    </row>
    <row r="327" customFormat="false" ht="15" hidden="true" customHeight="false" outlineLevel="1" collapsed="false">
      <c r="A327" s="11" t="s">
        <v>951</v>
      </c>
      <c r="B327" s="68" t="s">
        <v>615</v>
      </c>
      <c r="C327" s="28" t="n">
        <v>1</v>
      </c>
      <c r="D327" s="11" t="s">
        <v>479</v>
      </c>
      <c r="E327" s="11" t="s">
        <v>480</v>
      </c>
      <c r="F327" s="11" t="s">
        <v>429</v>
      </c>
      <c r="G327" s="15" t="s">
        <v>481</v>
      </c>
      <c r="H327" s="15"/>
      <c r="I327" s="11" t="n">
        <v>4</v>
      </c>
      <c r="J327" s="11" t="s">
        <v>432</v>
      </c>
      <c r="O327" s="69" t="str">
        <f aca="false">IF(AND(LEN(TRIM($B327&amp;""))&gt;0,LEN(TRIM($P327&amp;""))=0),"PASS","FAIL — "&amp;IF(LEN(TRIM($P327&amp;""))&gt;0,TRIM($P327&amp;""),"line ≠ qty×unit, a required cell empty, or qty/£ non-positive"))</f>
        <v>PASS</v>
      </c>
      <c r="P327" s="70"/>
      <c r="Q327" s="16" t="str">
        <f aca="false">IF(AND(LEN(TRIM(B327&amp;""))&gt;0,TRIM(B327&amp;"")&lt;&gt;"—",LEN(TRIM(C327&amp;""))&gt;0,TRIM(C327&amp;"")&lt;&gt;"—",ISNUMBER(C327),LEN(TRIM(F327&amp;""))&gt;0,TRIM(F327&amp;"")&lt;&gt;"—",LEN(TRIM(I327&amp;""))&gt;0,TRIM(I327&amp;"")&lt;&gt;"—",LEN(TRIM(J327&amp;""))&gt;0,TRIM(J327&amp;"")&lt;&gt;"—",LEN(TRIM(O327&amp;""))&gt;0,TRIM(O327&amp;"")&lt;&gt;"—"),"PASS","⚠ FAIL — "&amp;"a required cell is empty/placeholder or wrong type")</f>
        <v>PASS</v>
      </c>
    </row>
    <row r="328" customFormat="false" ht="15" hidden="true" customHeight="false" outlineLevel="1" collapsed="false">
      <c r="A328" s="11" t="s">
        <v>952</v>
      </c>
      <c r="B328" s="68" t="s">
        <v>617</v>
      </c>
      <c r="C328" s="28" t="n">
        <v>1</v>
      </c>
      <c r="D328" s="11" t="s">
        <v>479</v>
      </c>
      <c r="E328" s="11" t="s">
        <v>480</v>
      </c>
      <c r="F328" s="11" t="s">
        <v>436</v>
      </c>
      <c r="G328" s="15" t="s">
        <v>481</v>
      </c>
      <c r="H328" s="15"/>
      <c r="I328" s="11" t="n">
        <v>5</v>
      </c>
      <c r="J328" s="11" t="s">
        <v>432</v>
      </c>
      <c r="O328" s="69" t="str">
        <f aca="false">IF(AND(LEN(TRIM($B328&amp;""))&gt;0,LEN(TRIM($P328&amp;""))=0),"PASS","FAIL — "&amp;IF(LEN(TRIM($P328&amp;""))&gt;0,TRIM($P328&amp;""),"line ≠ qty×unit, a required cell empty, or qty/£ non-positive"))</f>
        <v>PASS</v>
      </c>
      <c r="P328" s="70"/>
      <c r="Q328" s="16" t="str">
        <f aca="false">IF(AND(LEN(TRIM(B328&amp;""))&gt;0,TRIM(B328&amp;"")&lt;&gt;"—",LEN(TRIM(C328&amp;""))&gt;0,TRIM(C328&amp;"")&lt;&gt;"—",ISNUMBER(C328),LEN(TRIM(F328&amp;""))&gt;0,TRIM(F328&amp;"")&lt;&gt;"—",LEN(TRIM(I328&amp;""))&gt;0,TRIM(I328&amp;"")&lt;&gt;"—",LEN(TRIM(J328&amp;""))&gt;0,TRIM(J328&amp;"")&lt;&gt;"—",LEN(TRIM(O328&amp;""))&gt;0,TRIM(O328&amp;"")&lt;&gt;"—"),"PASS","⚠ FAIL — "&amp;"a required cell is empty/placeholder or wrong type")</f>
        <v>PASS</v>
      </c>
    </row>
    <row r="329" customFormat="false" ht="15" hidden="true" customHeight="false" outlineLevel="1" collapsed="false">
      <c r="A329" s="11" t="s">
        <v>953</v>
      </c>
      <c r="B329" s="68" t="s">
        <v>619</v>
      </c>
      <c r="C329" s="28" t="n">
        <v>1</v>
      </c>
      <c r="D329" s="11" t="s">
        <v>479</v>
      </c>
      <c r="E329" s="11" t="s">
        <v>480</v>
      </c>
      <c r="F329" s="11" t="s">
        <v>429</v>
      </c>
      <c r="G329" s="15" t="s">
        <v>481</v>
      </c>
      <c r="H329" s="15"/>
      <c r="I329" s="11" t="n">
        <v>4</v>
      </c>
      <c r="J329" s="11" t="s">
        <v>432</v>
      </c>
      <c r="O329" s="69" t="str">
        <f aca="false">IF(AND(LEN(TRIM($B329&amp;""))&gt;0,LEN(TRIM($P329&amp;""))=0),"PASS","FAIL — "&amp;IF(LEN(TRIM($P329&amp;""))&gt;0,TRIM($P329&amp;""),"line ≠ qty×unit, a required cell empty, or qty/£ non-positive"))</f>
        <v>PASS</v>
      </c>
      <c r="P329" s="70"/>
      <c r="Q329" s="16" t="str">
        <f aca="false">IF(AND(LEN(TRIM(B329&amp;""))&gt;0,TRIM(B329&amp;"")&lt;&gt;"—",LEN(TRIM(C329&amp;""))&gt;0,TRIM(C329&amp;"")&lt;&gt;"—",ISNUMBER(C329),LEN(TRIM(F329&amp;""))&gt;0,TRIM(F329&amp;"")&lt;&gt;"—",LEN(TRIM(I329&amp;""))&gt;0,TRIM(I329&amp;"")&lt;&gt;"—",LEN(TRIM(J329&amp;""))&gt;0,TRIM(J329&amp;"")&lt;&gt;"—",LEN(TRIM(O329&amp;""))&gt;0,TRIM(O329&amp;"")&lt;&gt;"—"),"PASS","⚠ FAIL — "&amp;"a required cell is empty/placeholder or wrong type")</f>
        <v>PASS</v>
      </c>
    </row>
    <row r="330" customFormat="false" ht="15" hidden="true" customHeight="false" outlineLevel="1" collapsed="false">
      <c r="A330" s="11" t="s">
        <v>954</v>
      </c>
      <c r="B330" s="68" t="s">
        <v>621</v>
      </c>
      <c r="C330" s="28" t="n">
        <v>1</v>
      </c>
      <c r="D330" s="11" t="s">
        <v>479</v>
      </c>
      <c r="E330" s="11" t="s">
        <v>480</v>
      </c>
      <c r="F330" s="11" t="s">
        <v>436</v>
      </c>
      <c r="G330" s="15" t="s">
        <v>481</v>
      </c>
      <c r="H330" s="15"/>
      <c r="I330" s="11" t="n">
        <v>5</v>
      </c>
      <c r="J330" s="11" t="s">
        <v>432</v>
      </c>
      <c r="O330" s="69" t="str">
        <f aca="false">IF(AND(LEN(TRIM($B330&amp;""))&gt;0,LEN(TRIM($P330&amp;""))=0),"PASS","FAIL — "&amp;IF(LEN(TRIM($P330&amp;""))&gt;0,TRIM($P330&amp;""),"line ≠ qty×unit, a required cell empty, or qty/£ non-positive"))</f>
        <v>PASS</v>
      </c>
      <c r="P330" s="70"/>
      <c r="Q330" s="16" t="str">
        <f aca="false">IF(AND(LEN(TRIM(B330&amp;""))&gt;0,TRIM(B330&amp;"")&lt;&gt;"—",LEN(TRIM(C330&amp;""))&gt;0,TRIM(C330&amp;"")&lt;&gt;"—",ISNUMBER(C330),LEN(TRIM(F330&amp;""))&gt;0,TRIM(F330&amp;"")&lt;&gt;"—",LEN(TRIM(I330&amp;""))&gt;0,TRIM(I330&amp;"")&lt;&gt;"—",LEN(TRIM(J330&amp;""))&gt;0,TRIM(J330&amp;"")&lt;&gt;"—",LEN(TRIM(O330&amp;""))&gt;0,TRIM(O330&amp;"")&lt;&gt;"—"),"PASS","⚠ FAIL — "&amp;"a required cell is empty/placeholder or wrong type")</f>
        <v>PASS</v>
      </c>
    </row>
    <row r="331" customFormat="false" ht="15" hidden="true" customHeight="false" outlineLevel="1" collapsed="false">
      <c r="A331" s="11" t="s">
        <v>955</v>
      </c>
      <c r="B331" s="68" t="s">
        <v>567</v>
      </c>
      <c r="C331" s="28" t="n">
        <v>1</v>
      </c>
      <c r="D331" s="11" t="s">
        <v>479</v>
      </c>
      <c r="E331" s="11" t="s">
        <v>480</v>
      </c>
      <c r="F331" s="11" t="s">
        <v>436</v>
      </c>
      <c r="G331" s="15" t="s">
        <v>481</v>
      </c>
      <c r="H331" s="15"/>
      <c r="I331" s="11" t="n">
        <v>5</v>
      </c>
      <c r="J331" s="11" t="s">
        <v>432</v>
      </c>
      <c r="O331" s="69" t="str">
        <f aca="false">IF(AND(LEN(TRIM($B331&amp;""))&gt;0,LEN(TRIM($P331&amp;""))=0),"PASS","FAIL — "&amp;IF(LEN(TRIM($P331&amp;""))&gt;0,TRIM($P331&amp;""),"line ≠ qty×unit, a required cell empty, or qty/£ non-positive"))</f>
        <v>PASS</v>
      </c>
      <c r="P331" s="70"/>
      <c r="Q331" s="16" t="str">
        <f aca="false">IF(AND(LEN(TRIM(B331&amp;""))&gt;0,TRIM(B331&amp;"")&lt;&gt;"—",LEN(TRIM(C331&amp;""))&gt;0,TRIM(C331&amp;"")&lt;&gt;"—",ISNUMBER(C331),LEN(TRIM(F331&amp;""))&gt;0,TRIM(F331&amp;"")&lt;&gt;"—",LEN(TRIM(I331&amp;""))&gt;0,TRIM(I331&amp;"")&lt;&gt;"—",LEN(TRIM(J331&amp;""))&gt;0,TRIM(J331&amp;"")&lt;&gt;"—",LEN(TRIM(O331&amp;""))&gt;0,TRIM(O331&amp;"")&lt;&gt;"—"),"PASS","⚠ FAIL — "&amp;"a required cell is empty/placeholder or wrong type")</f>
        <v>PASS</v>
      </c>
    </row>
    <row r="332" customFormat="false" ht="15" hidden="true" customHeight="false" outlineLevel="1" collapsed="false">
      <c r="A332" s="11" t="s">
        <v>956</v>
      </c>
      <c r="B332" s="68" t="s">
        <v>499</v>
      </c>
      <c r="C332" s="28" t="n">
        <v>1</v>
      </c>
      <c r="D332" s="11" t="s">
        <v>479</v>
      </c>
      <c r="E332" s="11" t="s">
        <v>480</v>
      </c>
      <c r="F332" s="11" t="s">
        <v>436</v>
      </c>
      <c r="G332" s="15" t="s">
        <v>481</v>
      </c>
      <c r="H332" s="15"/>
      <c r="I332" s="11" t="n">
        <v>5</v>
      </c>
      <c r="J332" s="11" t="s">
        <v>432</v>
      </c>
      <c r="O332" s="69" t="str">
        <f aca="false">IF(AND(LEN(TRIM($B332&amp;""))&gt;0,LEN(TRIM($P332&amp;""))=0),"PASS","FAIL — "&amp;IF(LEN(TRIM($P332&amp;""))&gt;0,TRIM($P332&amp;""),"line ≠ qty×unit, a required cell empty, or qty/£ non-positive"))</f>
        <v>PASS</v>
      </c>
      <c r="P332" s="70"/>
      <c r="Q332" s="16" t="str">
        <f aca="false">IF(AND(LEN(TRIM(B332&amp;""))&gt;0,TRIM(B332&amp;"")&lt;&gt;"—",LEN(TRIM(C332&amp;""))&gt;0,TRIM(C332&amp;"")&lt;&gt;"—",ISNUMBER(C332),LEN(TRIM(F332&amp;""))&gt;0,TRIM(F332&amp;"")&lt;&gt;"—",LEN(TRIM(I332&amp;""))&gt;0,TRIM(I332&amp;"")&lt;&gt;"—",LEN(TRIM(J332&amp;""))&gt;0,TRIM(J332&amp;"")&lt;&gt;"—",LEN(TRIM(O332&amp;""))&gt;0,TRIM(O332&amp;"")&lt;&gt;"—"),"PASS","⚠ FAIL — "&amp;"a required cell is empty/placeholder or wrong type")</f>
        <v>PASS</v>
      </c>
    </row>
    <row r="333" customFormat="false" ht="32.8" hidden="false" customHeight="false" outlineLevel="0" collapsed="false">
      <c r="A333" s="11" t="str">
        <f aca="false">'Part names'!$A$48</f>
        <v>X-150</v>
      </c>
      <c r="B333" s="68" t="str">
        <f aca="false">'Part names'!$B$48</f>
        <v>Isolation Valves</v>
      </c>
      <c r="C333" s="28" t="n">
        <v>1</v>
      </c>
      <c r="D333" s="36" t="n">
        <v>95</v>
      </c>
      <c r="E333" s="36" t="n">
        <v>95</v>
      </c>
      <c r="F333" s="11" t="s">
        <v>436</v>
      </c>
      <c r="G333" s="15" t="s">
        <v>437</v>
      </c>
      <c r="H333" s="15" t="s">
        <v>462</v>
      </c>
      <c r="I333" s="11" t="n">
        <v>5</v>
      </c>
      <c r="J333" s="11" t="s">
        <v>432</v>
      </c>
      <c r="K333" s="15" t="s">
        <v>957</v>
      </c>
      <c r="L333" s="68" t="s">
        <v>512</v>
      </c>
      <c r="M333" s="15" t="s">
        <v>844</v>
      </c>
      <c r="N333" s="15" t="s">
        <v>441</v>
      </c>
      <c r="O333" s="69" t="str">
        <f aca="false">IF(AND(LEN(TRIM($B333&amp;""))&gt;0,ISNUMBER($C333),$C333&gt;0,ISNUMBER($D333),$D333&gt;0,ISNUMBER($E333),$E333&gt;0,ABS($E333-$C333*$D333)&lt;=MAX(1,0.005*ABS($E333)),LEN(TRIM($M333&amp;""))&gt;0,TRIM($M333&amp;"")&lt;&gt;"—",LEN(TRIM($P333&amp;""))=0),"PASS","FAIL — "&amp;IF(LEN(TRIM($P333&amp;""))&gt;0,TRIM($P333&amp;""),"line ≠ qty×unit, a required cell empty, or qty/£ non-positive"))</f>
        <v>PASS</v>
      </c>
      <c r="P333" s="70"/>
      <c r="Q333" s="16" t="str">
        <f aca="false">IF(AND(LEN(TRIM(A333&amp;""))&gt;0,TRIM(A333&amp;"")&lt;&gt;"—",LEN(TRIM(B333&amp;""))&gt;0,TRIM(B333&amp;"")&lt;&gt;"—",LEN(TRIM(C333&amp;""))&gt;0,TRIM(C333&amp;"")&lt;&gt;"—",ISNUMBER(C333),LEN(TRIM(D333&amp;""))&gt;0,TRIM(D333&amp;"")&lt;&gt;"—",ISNUMBER(D333),LEN(TRIM(E333&amp;""))&gt;0,TRIM(E333&amp;"")&lt;&gt;"—",ISNUMBER(E333),LEN(TRIM(F333&amp;""))&gt;0,TRIM(F333&amp;"")&lt;&gt;"—",LEN(TRIM(I333&amp;""))&gt;0,TRIM(I333&amp;"")&lt;&gt;"—",LEN(TRIM(J333&amp;""))&gt;0,TRIM(J333&amp;"")&lt;&gt;"—",LEN(TRIM(O333&amp;""))&gt;0,TRIM(O333&amp;"")&lt;&gt;"—"),"PASS","⚠ FAIL — "&amp;"a required cell is empty/placeholder or wrong type")</f>
        <v>PASS</v>
      </c>
    </row>
    <row r="334" customFormat="false" ht="43.25" hidden="false" customHeight="false" outlineLevel="0" collapsed="false">
      <c r="A334" s="11" t="s">
        <v>958</v>
      </c>
      <c r="B334" s="68" t="s">
        <v>959</v>
      </c>
      <c r="C334" s="28" t="n">
        <v>1</v>
      </c>
      <c r="D334" s="36" t="n">
        <v>905</v>
      </c>
      <c r="E334" s="36" t="n">
        <v>905</v>
      </c>
      <c r="F334" s="11" t="s">
        <v>960</v>
      </c>
      <c r="G334" s="15" t="s">
        <v>961</v>
      </c>
      <c r="H334" s="15" t="s">
        <v>962</v>
      </c>
      <c r="I334" s="11" t="n">
        <v>3</v>
      </c>
      <c r="J334" s="11" t="s">
        <v>963</v>
      </c>
      <c r="K334" s="15" t="s">
        <v>959</v>
      </c>
      <c r="L334" s="68" t="s">
        <v>964</v>
      </c>
      <c r="M334" s="15" t="s">
        <v>965</v>
      </c>
      <c r="N334" s="68" t="s">
        <v>966</v>
      </c>
      <c r="O334" s="69" t="str">
        <f aca="false">IF(AND(LEN(TRIM($B334&amp;""))&gt;0,ISNUMBER($C334),$C334&gt;0,ISNUMBER($D334),$D334&gt;0,ISNUMBER($E334),$E334&gt;0,ABS($E334-$C334*$D334)&lt;=MAX(1,0.005*ABS($E334)),LEN(TRIM($M334&amp;""))&gt;0,TRIM($M334&amp;"")&lt;&gt;"—",LEN(TRIM($P334&amp;""))=0),"PASS","FAIL — "&amp;IF(LEN(TRIM($P334&amp;""))&gt;0,TRIM($P334&amp;""),"line ≠ qty×unit, a required cell empty, or qty/£ non-positive"))</f>
        <v>PASS</v>
      </c>
      <c r="P334" s="70"/>
      <c r="Q334" s="16" t="str">
        <f aca="false">IF(AND(LEN(TRIM(A334&amp;""))&gt;0,TRIM(A334&amp;"")&lt;&gt;"—",LEN(TRIM(B334&amp;""))&gt;0,TRIM(B334&amp;"")&lt;&gt;"—",LEN(TRIM(C334&amp;""))&gt;0,TRIM(C334&amp;"")&lt;&gt;"—",ISNUMBER(C334),LEN(TRIM(D334&amp;""))&gt;0,TRIM(D334&amp;"")&lt;&gt;"—",ISNUMBER(D334),LEN(TRIM(E334&amp;""))&gt;0,TRIM(E334&amp;"")&lt;&gt;"—",ISNUMBER(E334),LEN(TRIM(F334&amp;""))&gt;0,TRIM(F334&amp;"")&lt;&gt;"—",LEN(TRIM(I334&amp;""))&gt;0,TRIM(I334&amp;"")&lt;&gt;"—",LEN(TRIM(J334&amp;""))&gt;0,TRIM(J334&amp;"")&lt;&gt;"—",LEN(TRIM(O334&amp;""))&gt;0,TRIM(O334&amp;"")&lt;&gt;"—"),"PASS","⚠ FAIL — "&amp;"a required cell is empty/placeholder or wrong type")</f>
        <v>PASS</v>
      </c>
    </row>
    <row r="335" customFormat="false" ht="43.25" hidden="false" customHeight="false" outlineLevel="0" collapsed="false">
      <c r="A335" s="11" t="s">
        <v>967</v>
      </c>
      <c r="B335" s="68" t="s">
        <v>968</v>
      </c>
      <c r="C335" s="28" t="n">
        <v>1</v>
      </c>
      <c r="D335" s="36" t="n">
        <v>911</v>
      </c>
      <c r="E335" s="36" t="n">
        <v>911</v>
      </c>
      <c r="F335" s="11" t="s">
        <v>969</v>
      </c>
      <c r="G335" s="15" t="s">
        <v>970</v>
      </c>
      <c r="H335" s="15" t="s">
        <v>971</v>
      </c>
      <c r="I335" s="11" t="n">
        <v>3</v>
      </c>
      <c r="J335" s="11" t="s">
        <v>963</v>
      </c>
      <c r="K335" s="15" t="s">
        <v>968</v>
      </c>
      <c r="L335" s="68" t="s">
        <v>964</v>
      </c>
      <c r="M335" s="15" t="s">
        <v>972</v>
      </c>
      <c r="N335" s="68" t="s">
        <v>973</v>
      </c>
      <c r="O335" s="69" t="str">
        <f aca="false">IF(AND(LEN(TRIM($B335&amp;""))&gt;0,ISNUMBER($C335),$C335&gt;0,ISNUMBER($D335),$D335&gt;0,ISNUMBER($E335),$E335&gt;0,ABS($E335-$C335*$D335)&lt;=MAX(1,0.005*ABS($E335)),LEN(TRIM($M335&amp;""))&gt;0,TRIM($M335&amp;"")&lt;&gt;"—",LEN(TRIM($P335&amp;""))=0),"PASS","FAIL — "&amp;IF(LEN(TRIM($P335&amp;""))&gt;0,TRIM($P335&amp;""),"line ≠ qty×unit, a required cell empty, or qty/£ non-positive"))</f>
        <v>PASS</v>
      </c>
      <c r="P335" s="70"/>
      <c r="Q335" s="16" t="str">
        <f aca="false">IF(AND(LEN(TRIM(A335&amp;""))&gt;0,TRIM(A335&amp;"")&lt;&gt;"—",LEN(TRIM(B335&amp;""))&gt;0,TRIM(B335&amp;"")&lt;&gt;"—",LEN(TRIM(C335&amp;""))&gt;0,TRIM(C335&amp;"")&lt;&gt;"—",ISNUMBER(C335),LEN(TRIM(D335&amp;""))&gt;0,TRIM(D335&amp;"")&lt;&gt;"—",ISNUMBER(D335),LEN(TRIM(E335&amp;""))&gt;0,TRIM(E335&amp;"")&lt;&gt;"—",ISNUMBER(E335),LEN(TRIM(F335&amp;""))&gt;0,TRIM(F335&amp;"")&lt;&gt;"—",LEN(TRIM(I335&amp;""))&gt;0,TRIM(I335&amp;"")&lt;&gt;"—",LEN(TRIM(J335&amp;""))&gt;0,TRIM(J335&amp;"")&lt;&gt;"—",LEN(TRIM(O335&amp;""))&gt;0,TRIM(O335&amp;"")&lt;&gt;"—"),"PASS","⚠ FAIL — "&amp;"a required cell is empty/placeholder or wrong type")</f>
        <v>PASS</v>
      </c>
    </row>
    <row r="336" customFormat="false" ht="43.25" hidden="false" customHeight="false" outlineLevel="0" collapsed="false">
      <c r="A336" s="11" t="s">
        <v>974</v>
      </c>
      <c r="B336" s="68" t="s">
        <v>975</v>
      </c>
      <c r="C336" s="28" t="n">
        <v>1</v>
      </c>
      <c r="D336" s="36" t="n">
        <v>1614</v>
      </c>
      <c r="E336" s="36" t="n">
        <v>1614</v>
      </c>
      <c r="F336" s="11" t="s">
        <v>960</v>
      </c>
      <c r="G336" s="15" t="s">
        <v>976</v>
      </c>
      <c r="H336" s="15" t="s">
        <v>977</v>
      </c>
      <c r="I336" s="11" t="n">
        <v>3</v>
      </c>
      <c r="J336" s="11" t="s">
        <v>963</v>
      </c>
      <c r="K336" s="15" t="s">
        <v>975</v>
      </c>
      <c r="L336" s="68" t="s">
        <v>964</v>
      </c>
      <c r="M336" s="15" t="s">
        <v>978</v>
      </c>
      <c r="N336" s="68" t="s">
        <v>979</v>
      </c>
      <c r="O336" s="69" t="str">
        <f aca="false">IF(AND(LEN(TRIM($B336&amp;""))&gt;0,ISNUMBER($C336),$C336&gt;0,ISNUMBER($D336),$D336&gt;0,ISNUMBER($E336),$E336&gt;0,ABS($E336-$C336*$D336)&lt;=MAX(1,0.005*ABS($E336)),LEN(TRIM($M336&amp;""))&gt;0,TRIM($M336&amp;"")&lt;&gt;"—",LEN(TRIM($P336&amp;""))=0),"PASS","FAIL — "&amp;IF(LEN(TRIM($P336&amp;""))&gt;0,TRIM($P336&amp;""),"line ≠ qty×unit, a required cell empty, or qty/£ non-positive"))</f>
        <v>PASS</v>
      </c>
      <c r="P336" s="70"/>
      <c r="Q336" s="16" t="str">
        <f aca="false">IF(AND(LEN(TRIM(A336&amp;""))&gt;0,TRIM(A336&amp;"")&lt;&gt;"—",LEN(TRIM(B336&amp;""))&gt;0,TRIM(B336&amp;"")&lt;&gt;"—",LEN(TRIM(C336&amp;""))&gt;0,TRIM(C336&amp;"")&lt;&gt;"—",ISNUMBER(C336),LEN(TRIM(D336&amp;""))&gt;0,TRIM(D336&amp;"")&lt;&gt;"—",ISNUMBER(D336),LEN(TRIM(E336&amp;""))&gt;0,TRIM(E336&amp;"")&lt;&gt;"—",ISNUMBER(E336),LEN(TRIM(F336&amp;""))&gt;0,TRIM(F336&amp;"")&lt;&gt;"—",LEN(TRIM(I336&amp;""))&gt;0,TRIM(I336&amp;"")&lt;&gt;"—",LEN(TRIM(J336&amp;""))&gt;0,TRIM(J336&amp;"")&lt;&gt;"—",LEN(TRIM(O336&amp;""))&gt;0,TRIM(O336&amp;"")&lt;&gt;"—"),"PASS","⚠ FAIL — "&amp;"a required cell is empty/placeholder or wrong type")</f>
        <v>PASS</v>
      </c>
    </row>
    <row r="337" customFormat="false" ht="43.25" hidden="false" customHeight="false" outlineLevel="0" collapsed="false">
      <c r="A337" s="11" t="s">
        <v>980</v>
      </c>
      <c r="B337" s="68" t="s">
        <v>981</v>
      </c>
      <c r="C337" s="28" t="n">
        <v>1</v>
      </c>
      <c r="D337" s="36" t="n">
        <v>975</v>
      </c>
      <c r="E337" s="36" t="n">
        <v>975</v>
      </c>
      <c r="F337" s="11" t="s">
        <v>969</v>
      </c>
      <c r="G337" s="15" t="s">
        <v>982</v>
      </c>
      <c r="H337" s="15" t="s">
        <v>983</v>
      </c>
      <c r="I337" s="11" t="n">
        <v>3</v>
      </c>
      <c r="J337" s="11" t="s">
        <v>963</v>
      </c>
      <c r="K337" s="15" t="s">
        <v>981</v>
      </c>
      <c r="L337" s="68" t="s">
        <v>964</v>
      </c>
      <c r="M337" s="15" t="s">
        <v>984</v>
      </c>
      <c r="N337" s="68" t="s">
        <v>985</v>
      </c>
      <c r="O337" s="69" t="str">
        <f aca="false">IF(AND(LEN(TRIM($B337&amp;""))&gt;0,ISNUMBER($C337),$C337&gt;0,ISNUMBER($D337),$D337&gt;0,ISNUMBER($E337),$E337&gt;0,ABS($E337-$C337*$D337)&lt;=MAX(1,0.005*ABS($E337)),LEN(TRIM($M337&amp;""))&gt;0,TRIM($M337&amp;"")&lt;&gt;"—",LEN(TRIM($P337&amp;""))=0),"PASS","FAIL — "&amp;IF(LEN(TRIM($P337&amp;""))&gt;0,TRIM($P337&amp;""),"line ≠ qty×unit, a required cell empty, or qty/£ non-positive"))</f>
        <v>PASS</v>
      </c>
      <c r="P337" s="70"/>
      <c r="Q337" s="16" t="str">
        <f aca="false">IF(AND(LEN(TRIM(A337&amp;""))&gt;0,TRIM(A337&amp;"")&lt;&gt;"—",LEN(TRIM(B337&amp;""))&gt;0,TRIM(B337&amp;"")&lt;&gt;"—",LEN(TRIM(C337&amp;""))&gt;0,TRIM(C337&amp;"")&lt;&gt;"—",ISNUMBER(C337),LEN(TRIM(D337&amp;""))&gt;0,TRIM(D337&amp;"")&lt;&gt;"—",ISNUMBER(D337),LEN(TRIM(E337&amp;""))&gt;0,TRIM(E337&amp;"")&lt;&gt;"—",ISNUMBER(E337),LEN(TRIM(F337&amp;""))&gt;0,TRIM(F337&amp;"")&lt;&gt;"—",LEN(TRIM(I337&amp;""))&gt;0,TRIM(I337&amp;"")&lt;&gt;"—",LEN(TRIM(J337&amp;""))&gt;0,TRIM(J337&amp;"")&lt;&gt;"—",LEN(TRIM(O337&amp;""))&gt;0,TRIM(O337&amp;"")&lt;&gt;"—"),"PASS","⚠ FAIL — "&amp;"a required cell is empty/placeholder or wrong type")</f>
        <v>PASS</v>
      </c>
    </row>
    <row r="338" customFormat="false" ht="43.25" hidden="false" customHeight="false" outlineLevel="0" collapsed="false">
      <c r="A338" s="11" t="s">
        <v>986</v>
      </c>
      <c r="B338" s="68" t="s">
        <v>987</v>
      </c>
      <c r="C338" s="28" t="n">
        <v>1</v>
      </c>
      <c r="D338" s="36" t="n">
        <v>2232</v>
      </c>
      <c r="E338" s="36" t="n">
        <v>2232</v>
      </c>
      <c r="F338" s="11" t="s">
        <v>960</v>
      </c>
      <c r="G338" s="15" t="s">
        <v>988</v>
      </c>
      <c r="H338" s="15" t="s">
        <v>989</v>
      </c>
      <c r="I338" s="11" t="n">
        <v>3</v>
      </c>
      <c r="J338" s="11" t="s">
        <v>963</v>
      </c>
      <c r="K338" s="15" t="s">
        <v>987</v>
      </c>
      <c r="L338" s="68" t="s">
        <v>964</v>
      </c>
      <c r="M338" s="15" t="s">
        <v>990</v>
      </c>
      <c r="N338" s="68" t="s">
        <v>991</v>
      </c>
      <c r="O338" s="69" t="str">
        <f aca="false">IF(AND(LEN(TRIM($B338&amp;""))&gt;0,ISNUMBER($C338),$C338&gt;0,ISNUMBER($D338),$D338&gt;0,ISNUMBER($E338),$E338&gt;0,ABS($E338-$C338*$D338)&lt;=MAX(1,0.005*ABS($E338)),LEN(TRIM($M338&amp;""))&gt;0,TRIM($M338&amp;"")&lt;&gt;"—",LEN(TRIM($P338&amp;""))=0),"PASS","FAIL — "&amp;IF(LEN(TRIM($P338&amp;""))&gt;0,TRIM($P338&amp;""),"line ≠ qty×unit, a required cell empty, or qty/£ non-positive"))</f>
        <v>PASS</v>
      </c>
      <c r="P338" s="70"/>
      <c r="Q338" s="16" t="str">
        <f aca="false">IF(AND(LEN(TRIM(A338&amp;""))&gt;0,TRIM(A338&amp;"")&lt;&gt;"—",LEN(TRIM(B338&amp;""))&gt;0,TRIM(B338&amp;"")&lt;&gt;"—",LEN(TRIM(C338&amp;""))&gt;0,TRIM(C338&amp;"")&lt;&gt;"—",ISNUMBER(C338),LEN(TRIM(D338&amp;""))&gt;0,TRIM(D338&amp;"")&lt;&gt;"—",ISNUMBER(D338),LEN(TRIM(E338&amp;""))&gt;0,TRIM(E338&amp;"")&lt;&gt;"—",ISNUMBER(E338),LEN(TRIM(F338&amp;""))&gt;0,TRIM(F338&amp;"")&lt;&gt;"—",LEN(TRIM(I338&amp;""))&gt;0,TRIM(I338&amp;"")&lt;&gt;"—",LEN(TRIM(J338&amp;""))&gt;0,TRIM(J338&amp;"")&lt;&gt;"—",LEN(TRIM(O338&amp;""))&gt;0,TRIM(O338&amp;"")&lt;&gt;"—"),"PASS","⚠ FAIL — "&amp;"a required cell is empty/placeholder or wrong type")</f>
        <v>PASS</v>
      </c>
    </row>
    <row r="339" customFormat="false" ht="43.25" hidden="false" customHeight="false" outlineLevel="0" collapsed="false">
      <c r="A339" s="11" t="s">
        <v>992</v>
      </c>
      <c r="B339" s="68" t="s">
        <v>993</v>
      </c>
      <c r="C339" s="28" t="n">
        <v>1</v>
      </c>
      <c r="D339" s="36" t="n">
        <v>1443</v>
      </c>
      <c r="E339" s="36" t="n">
        <v>1443</v>
      </c>
      <c r="F339" s="11" t="s">
        <v>969</v>
      </c>
      <c r="G339" s="15" t="s">
        <v>994</v>
      </c>
      <c r="H339" s="15" t="s">
        <v>995</v>
      </c>
      <c r="I339" s="11" t="n">
        <v>3</v>
      </c>
      <c r="J339" s="11" t="s">
        <v>963</v>
      </c>
      <c r="K339" s="15" t="s">
        <v>993</v>
      </c>
      <c r="L339" s="68" t="s">
        <v>964</v>
      </c>
      <c r="M339" s="15" t="s">
        <v>996</v>
      </c>
      <c r="N339" s="68" t="s">
        <v>997</v>
      </c>
      <c r="O339" s="69" t="str">
        <f aca="false">IF(AND(LEN(TRIM($B339&amp;""))&gt;0,ISNUMBER($C339),$C339&gt;0,ISNUMBER($D339),$D339&gt;0,ISNUMBER($E339),$E339&gt;0,ABS($E339-$C339*$D339)&lt;=MAX(1,0.005*ABS($E339)),LEN(TRIM($M339&amp;""))&gt;0,TRIM($M339&amp;"")&lt;&gt;"—",LEN(TRIM($P339&amp;""))=0),"PASS","FAIL — "&amp;IF(LEN(TRIM($P339&amp;""))&gt;0,TRIM($P339&amp;""),"line ≠ qty×unit, a required cell empty, or qty/£ non-positive"))</f>
        <v>PASS</v>
      </c>
      <c r="P339" s="70"/>
      <c r="Q339" s="16" t="str">
        <f aca="false">IF(AND(LEN(TRIM(A339&amp;""))&gt;0,TRIM(A339&amp;"")&lt;&gt;"—",LEN(TRIM(B339&amp;""))&gt;0,TRIM(B339&amp;"")&lt;&gt;"—",LEN(TRIM(C339&amp;""))&gt;0,TRIM(C339&amp;"")&lt;&gt;"—",ISNUMBER(C339),LEN(TRIM(D339&amp;""))&gt;0,TRIM(D339&amp;"")&lt;&gt;"—",ISNUMBER(D339),LEN(TRIM(E339&amp;""))&gt;0,TRIM(E339&amp;"")&lt;&gt;"—",ISNUMBER(E339),LEN(TRIM(F339&amp;""))&gt;0,TRIM(F339&amp;"")&lt;&gt;"—",LEN(TRIM(I339&amp;""))&gt;0,TRIM(I339&amp;"")&lt;&gt;"—",LEN(TRIM(J339&amp;""))&gt;0,TRIM(J339&amp;"")&lt;&gt;"—",LEN(TRIM(O339&amp;""))&gt;0,TRIM(O339&amp;"")&lt;&gt;"—"),"PASS","⚠ FAIL — "&amp;"a required cell is empty/placeholder or wrong type")</f>
        <v>PASS</v>
      </c>
    </row>
    <row r="340" customFormat="false" ht="43.25" hidden="false" customHeight="false" outlineLevel="0" collapsed="false">
      <c r="A340" s="11" t="s">
        <v>998</v>
      </c>
      <c r="B340" s="68" t="s">
        <v>999</v>
      </c>
      <c r="C340" s="28" t="n">
        <v>1</v>
      </c>
      <c r="D340" s="36" t="n">
        <v>1419</v>
      </c>
      <c r="E340" s="36" t="n">
        <v>1419</v>
      </c>
      <c r="F340" s="11" t="s">
        <v>960</v>
      </c>
      <c r="G340" s="15" t="s">
        <v>1000</v>
      </c>
      <c r="H340" s="15" t="s">
        <v>1001</v>
      </c>
      <c r="I340" s="11" t="n">
        <v>3</v>
      </c>
      <c r="J340" s="11" t="s">
        <v>963</v>
      </c>
      <c r="K340" s="15" t="s">
        <v>999</v>
      </c>
      <c r="L340" s="68" t="s">
        <v>964</v>
      </c>
      <c r="M340" s="15" t="s">
        <v>1002</v>
      </c>
      <c r="N340" s="68" t="s">
        <v>1003</v>
      </c>
      <c r="O340" s="69" t="str">
        <f aca="false">IF(AND(LEN(TRIM($B340&amp;""))&gt;0,ISNUMBER($C340),$C340&gt;0,ISNUMBER($D340),$D340&gt;0,ISNUMBER($E340),$E340&gt;0,ABS($E340-$C340*$D340)&lt;=MAX(1,0.005*ABS($E340)),LEN(TRIM($M340&amp;""))&gt;0,TRIM($M340&amp;"")&lt;&gt;"—",LEN(TRIM($P340&amp;""))=0),"PASS","FAIL — "&amp;IF(LEN(TRIM($P340&amp;""))&gt;0,TRIM($P340&amp;""),"line ≠ qty×unit, a required cell empty, or qty/£ non-positive"))</f>
        <v>PASS</v>
      </c>
      <c r="P340" s="70"/>
      <c r="Q340" s="16" t="str">
        <f aca="false">IF(AND(LEN(TRIM(A340&amp;""))&gt;0,TRIM(A340&amp;"")&lt;&gt;"—",LEN(TRIM(B340&amp;""))&gt;0,TRIM(B340&amp;"")&lt;&gt;"—",LEN(TRIM(C340&amp;""))&gt;0,TRIM(C340&amp;"")&lt;&gt;"—",ISNUMBER(C340),LEN(TRIM(D340&amp;""))&gt;0,TRIM(D340&amp;"")&lt;&gt;"—",ISNUMBER(D340),LEN(TRIM(E340&amp;""))&gt;0,TRIM(E340&amp;"")&lt;&gt;"—",ISNUMBER(E340),LEN(TRIM(F340&amp;""))&gt;0,TRIM(F340&amp;"")&lt;&gt;"—",LEN(TRIM(I340&amp;""))&gt;0,TRIM(I340&amp;"")&lt;&gt;"—",LEN(TRIM(J340&amp;""))&gt;0,TRIM(J340&amp;"")&lt;&gt;"—",LEN(TRIM(O340&amp;""))&gt;0,TRIM(O340&amp;"")&lt;&gt;"—"),"PASS","⚠ FAIL — "&amp;"a required cell is empty/placeholder or wrong type")</f>
        <v>PASS</v>
      </c>
    </row>
    <row r="341" customFormat="false" ht="43.25" hidden="false" customHeight="false" outlineLevel="0" collapsed="false">
      <c r="A341" s="11" t="s">
        <v>1004</v>
      </c>
      <c r="B341" s="68" t="s">
        <v>1005</v>
      </c>
      <c r="C341" s="28" t="n">
        <v>1</v>
      </c>
      <c r="D341" s="36" t="n">
        <v>1023</v>
      </c>
      <c r="E341" s="36" t="n">
        <v>1023</v>
      </c>
      <c r="F341" s="11" t="s">
        <v>969</v>
      </c>
      <c r="G341" s="15" t="s">
        <v>1006</v>
      </c>
      <c r="H341" s="15" t="s">
        <v>1007</v>
      </c>
      <c r="I341" s="11" t="n">
        <v>3</v>
      </c>
      <c r="J341" s="11" t="s">
        <v>963</v>
      </c>
      <c r="K341" s="15" t="s">
        <v>1005</v>
      </c>
      <c r="L341" s="68" t="s">
        <v>964</v>
      </c>
      <c r="M341" s="15" t="s">
        <v>1008</v>
      </c>
      <c r="N341" s="68" t="s">
        <v>1009</v>
      </c>
      <c r="O341" s="69" t="str">
        <f aca="false">IF(AND(LEN(TRIM($B341&amp;""))&gt;0,ISNUMBER($C341),$C341&gt;0,ISNUMBER($D341),$D341&gt;0,ISNUMBER($E341),$E341&gt;0,ABS($E341-$C341*$D341)&lt;=MAX(1,0.005*ABS($E341)),LEN(TRIM($M341&amp;""))&gt;0,TRIM($M341&amp;"")&lt;&gt;"—",LEN(TRIM($P341&amp;""))=0),"PASS","FAIL — "&amp;IF(LEN(TRIM($P341&amp;""))&gt;0,TRIM($P341&amp;""),"line ≠ qty×unit, a required cell empty, or qty/£ non-positive"))</f>
        <v>PASS</v>
      </c>
      <c r="P341" s="70"/>
      <c r="Q341" s="16" t="str">
        <f aca="false">IF(AND(LEN(TRIM(A341&amp;""))&gt;0,TRIM(A341&amp;"")&lt;&gt;"—",LEN(TRIM(B341&amp;""))&gt;0,TRIM(B341&amp;"")&lt;&gt;"—",LEN(TRIM(C341&amp;""))&gt;0,TRIM(C341&amp;"")&lt;&gt;"—",ISNUMBER(C341),LEN(TRIM(D341&amp;""))&gt;0,TRIM(D341&amp;"")&lt;&gt;"—",ISNUMBER(D341),LEN(TRIM(E341&amp;""))&gt;0,TRIM(E341&amp;"")&lt;&gt;"—",ISNUMBER(E341),LEN(TRIM(F341&amp;""))&gt;0,TRIM(F341&amp;"")&lt;&gt;"—",LEN(TRIM(I341&amp;""))&gt;0,TRIM(I341&amp;"")&lt;&gt;"—",LEN(TRIM(J341&amp;""))&gt;0,TRIM(J341&amp;"")&lt;&gt;"—",LEN(TRIM(O341&amp;""))&gt;0,TRIM(O341&amp;"")&lt;&gt;"—"),"PASS","⚠ FAIL — "&amp;"a required cell is empty/placeholder or wrong type")</f>
        <v>PASS</v>
      </c>
    </row>
    <row r="342" customFormat="false" ht="64.15" hidden="false" customHeight="false" outlineLevel="0" collapsed="false">
      <c r="A342" s="11" t="s">
        <v>1010</v>
      </c>
      <c r="B342" s="68" t="s">
        <v>1011</v>
      </c>
      <c r="C342" s="28" t="n">
        <v>1</v>
      </c>
      <c r="D342" s="36" t="n">
        <v>1559</v>
      </c>
      <c r="E342" s="36" t="n">
        <v>1559</v>
      </c>
      <c r="F342" s="11" t="s">
        <v>960</v>
      </c>
      <c r="G342" s="15" t="s">
        <v>1012</v>
      </c>
      <c r="H342" s="15" t="s">
        <v>1013</v>
      </c>
      <c r="I342" s="11" t="n">
        <v>3</v>
      </c>
      <c r="J342" s="11" t="s">
        <v>963</v>
      </c>
      <c r="K342" s="15" t="s">
        <v>1011</v>
      </c>
      <c r="L342" s="68" t="s">
        <v>964</v>
      </c>
      <c r="M342" s="15" t="s">
        <v>1014</v>
      </c>
      <c r="N342" s="68" t="s">
        <v>1015</v>
      </c>
      <c r="O342" s="69" t="str">
        <f aca="false">IF(AND(LEN(TRIM($B342&amp;""))&gt;0,ISNUMBER($C342),$C342&gt;0,ISNUMBER($D342),$D342&gt;0,ISNUMBER($E342),$E342&gt;0,ABS($E342-$C342*$D342)&lt;=MAX(1,0.005*ABS($E342)),LEN(TRIM($M342&amp;""))&gt;0,TRIM($M342&amp;"")&lt;&gt;"—",LEN(TRIM($P342&amp;""))=0),"PASS","FAIL — "&amp;IF(LEN(TRIM($P342&amp;""))&gt;0,TRIM($P342&amp;""),"line ≠ qty×unit, a required cell empty, or qty/£ non-positive"))</f>
        <v>PASS</v>
      </c>
      <c r="P342" s="70"/>
      <c r="Q342" s="16" t="str">
        <f aca="false">IF(AND(LEN(TRIM(A342&amp;""))&gt;0,TRIM(A342&amp;"")&lt;&gt;"—",LEN(TRIM(B342&amp;""))&gt;0,TRIM(B342&amp;"")&lt;&gt;"—",LEN(TRIM(C342&amp;""))&gt;0,TRIM(C342&amp;"")&lt;&gt;"—",ISNUMBER(C342),LEN(TRIM(D342&amp;""))&gt;0,TRIM(D342&amp;"")&lt;&gt;"—",ISNUMBER(D342),LEN(TRIM(E342&amp;""))&gt;0,TRIM(E342&amp;"")&lt;&gt;"—",ISNUMBER(E342),LEN(TRIM(F342&amp;""))&gt;0,TRIM(F342&amp;"")&lt;&gt;"—",LEN(TRIM(I342&amp;""))&gt;0,TRIM(I342&amp;"")&lt;&gt;"—",LEN(TRIM(J342&amp;""))&gt;0,TRIM(J342&amp;"")&lt;&gt;"—",LEN(TRIM(O342&amp;""))&gt;0,TRIM(O342&amp;"")&lt;&gt;"—"),"PASS","⚠ FAIL — "&amp;"a required cell is empty/placeholder or wrong type")</f>
        <v>PASS</v>
      </c>
    </row>
    <row r="343" customFormat="false" ht="43.25" hidden="false" customHeight="false" outlineLevel="0" collapsed="false">
      <c r="A343" s="11" t="s">
        <v>1016</v>
      </c>
      <c r="B343" s="68" t="s">
        <v>1017</v>
      </c>
      <c r="C343" s="28" t="n">
        <v>1</v>
      </c>
      <c r="D343" s="36" t="n">
        <v>1243</v>
      </c>
      <c r="E343" s="36" t="n">
        <v>1243</v>
      </c>
      <c r="F343" s="11" t="s">
        <v>969</v>
      </c>
      <c r="G343" s="15" t="s">
        <v>1018</v>
      </c>
      <c r="H343" s="15" t="s">
        <v>1019</v>
      </c>
      <c r="I343" s="11" t="n">
        <v>3</v>
      </c>
      <c r="J343" s="11" t="s">
        <v>963</v>
      </c>
      <c r="K343" s="15" t="s">
        <v>1017</v>
      </c>
      <c r="L343" s="68" t="s">
        <v>964</v>
      </c>
      <c r="M343" s="15" t="s">
        <v>1020</v>
      </c>
      <c r="N343" s="68" t="s">
        <v>1021</v>
      </c>
      <c r="O343" s="69" t="str">
        <f aca="false">IF(AND(LEN(TRIM($B343&amp;""))&gt;0,ISNUMBER($C343),$C343&gt;0,ISNUMBER($D343),$D343&gt;0,ISNUMBER($E343),$E343&gt;0,ABS($E343-$C343*$D343)&lt;=MAX(1,0.005*ABS($E343)),LEN(TRIM($M343&amp;""))&gt;0,TRIM($M343&amp;"")&lt;&gt;"—",LEN(TRIM($P343&amp;""))=0),"PASS","FAIL — "&amp;IF(LEN(TRIM($P343&amp;""))&gt;0,TRIM($P343&amp;""),"line ≠ qty×unit, a required cell empty, or qty/£ non-positive"))</f>
        <v>PASS</v>
      </c>
      <c r="P343" s="70"/>
      <c r="Q343" s="16" t="str">
        <f aca="false">IF(AND(LEN(TRIM(A343&amp;""))&gt;0,TRIM(A343&amp;"")&lt;&gt;"—",LEN(TRIM(B343&amp;""))&gt;0,TRIM(B343&amp;"")&lt;&gt;"—",LEN(TRIM(C343&amp;""))&gt;0,TRIM(C343&amp;"")&lt;&gt;"—",ISNUMBER(C343),LEN(TRIM(D343&amp;""))&gt;0,TRIM(D343&amp;"")&lt;&gt;"—",ISNUMBER(D343),LEN(TRIM(E343&amp;""))&gt;0,TRIM(E343&amp;"")&lt;&gt;"—",ISNUMBER(E343),LEN(TRIM(F343&amp;""))&gt;0,TRIM(F343&amp;"")&lt;&gt;"—",LEN(TRIM(I343&amp;""))&gt;0,TRIM(I343&amp;"")&lt;&gt;"—",LEN(TRIM(J343&amp;""))&gt;0,TRIM(J343&amp;"")&lt;&gt;"—",LEN(TRIM(O343&amp;""))&gt;0,TRIM(O343&amp;"")&lt;&gt;"—"),"PASS","⚠ FAIL — "&amp;"a required cell is empty/placeholder or wrong type")</f>
        <v>PASS</v>
      </c>
    </row>
    <row r="344" customFormat="false" ht="43.25" hidden="false" customHeight="false" outlineLevel="0" collapsed="false">
      <c r="A344" s="11" t="s">
        <v>1022</v>
      </c>
      <c r="B344" s="68" t="s">
        <v>1023</v>
      </c>
      <c r="C344" s="28" t="n">
        <v>1</v>
      </c>
      <c r="D344" s="36" t="n">
        <v>1176</v>
      </c>
      <c r="E344" s="36" t="n">
        <v>1176</v>
      </c>
      <c r="F344" s="11" t="s">
        <v>969</v>
      </c>
      <c r="G344" s="15" t="s">
        <v>1024</v>
      </c>
      <c r="H344" s="15" t="s">
        <v>1025</v>
      </c>
      <c r="I344" s="11" t="n">
        <v>3</v>
      </c>
      <c r="J344" s="11" t="s">
        <v>963</v>
      </c>
      <c r="K344" s="15" t="s">
        <v>1023</v>
      </c>
      <c r="L344" s="68" t="s">
        <v>964</v>
      </c>
      <c r="M344" s="15" t="s">
        <v>1026</v>
      </c>
      <c r="N344" s="68" t="s">
        <v>1027</v>
      </c>
      <c r="O344" s="69" t="str">
        <f aca="false">IF(AND(LEN(TRIM($B344&amp;""))&gt;0,ISNUMBER($C344),$C344&gt;0,ISNUMBER($D344),$D344&gt;0,ISNUMBER($E344),$E344&gt;0,ABS($E344-$C344*$D344)&lt;=MAX(1,0.005*ABS($E344)),LEN(TRIM($M344&amp;""))&gt;0,TRIM($M344&amp;"")&lt;&gt;"—",LEN(TRIM($P344&amp;""))=0),"PASS","FAIL — "&amp;IF(LEN(TRIM($P344&amp;""))&gt;0,TRIM($P344&amp;""),"line ≠ qty×unit, a required cell empty, or qty/£ non-positive"))</f>
        <v>PASS</v>
      </c>
      <c r="P344" s="70"/>
      <c r="Q344" s="16" t="str">
        <f aca="false">IF(AND(LEN(TRIM(A344&amp;""))&gt;0,TRIM(A344&amp;"")&lt;&gt;"—",LEN(TRIM(B344&amp;""))&gt;0,TRIM(B344&amp;"")&lt;&gt;"—",LEN(TRIM(C344&amp;""))&gt;0,TRIM(C344&amp;"")&lt;&gt;"—",ISNUMBER(C344),LEN(TRIM(D344&amp;""))&gt;0,TRIM(D344&amp;"")&lt;&gt;"—",ISNUMBER(D344),LEN(TRIM(E344&amp;""))&gt;0,TRIM(E344&amp;"")&lt;&gt;"—",ISNUMBER(E344),LEN(TRIM(F344&amp;""))&gt;0,TRIM(F344&amp;"")&lt;&gt;"—",LEN(TRIM(I344&amp;""))&gt;0,TRIM(I344&amp;"")&lt;&gt;"—",LEN(TRIM(J344&amp;""))&gt;0,TRIM(J344&amp;"")&lt;&gt;"—",LEN(TRIM(O344&amp;""))&gt;0,TRIM(O344&amp;"")&lt;&gt;"—"),"PASS","⚠ FAIL — "&amp;"a required cell is empty/placeholder or wrong type")</f>
        <v>PASS</v>
      </c>
    </row>
    <row r="345" customFormat="false" ht="43.25" hidden="false" customHeight="false" outlineLevel="0" collapsed="false">
      <c r="A345" s="11" t="s">
        <v>1028</v>
      </c>
      <c r="B345" s="68" t="s">
        <v>1029</v>
      </c>
      <c r="C345" s="28" t="n">
        <v>1</v>
      </c>
      <c r="D345" s="36" t="n">
        <v>601</v>
      </c>
      <c r="E345" s="36" t="n">
        <v>601</v>
      </c>
      <c r="F345" s="11" t="s">
        <v>969</v>
      </c>
      <c r="G345" s="15" t="s">
        <v>1030</v>
      </c>
      <c r="H345" s="15" t="s">
        <v>1031</v>
      </c>
      <c r="I345" s="11" t="n">
        <v>3</v>
      </c>
      <c r="J345" s="11" t="s">
        <v>963</v>
      </c>
      <c r="K345" s="15" t="s">
        <v>1029</v>
      </c>
      <c r="L345" s="68" t="s">
        <v>964</v>
      </c>
      <c r="M345" s="15" t="s">
        <v>1032</v>
      </c>
      <c r="N345" s="68" t="s">
        <v>1033</v>
      </c>
      <c r="O345" s="69" t="str">
        <f aca="false">IF(AND(LEN(TRIM($B345&amp;""))&gt;0,ISNUMBER($C345),$C345&gt;0,ISNUMBER($D345),$D345&gt;0,ISNUMBER($E345),$E345&gt;0,ABS($E345-$C345*$D345)&lt;=MAX(1,0.005*ABS($E345)),LEN(TRIM($M345&amp;""))&gt;0,TRIM($M345&amp;"")&lt;&gt;"—",LEN(TRIM($P345&amp;""))=0),"PASS","FAIL — "&amp;IF(LEN(TRIM($P345&amp;""))&gt;0,TRIM($P345&amp;""),"line ≠ qty×unit, a required cell empty, or qty/£ non-positive"))</f>
        <v>PASS</v>
      </c>
      <c r="P345" s="70"/>
      <c r="Q345" s="16" t="str">
        <f aca="false">IF(AND(LEN(TRIM(A345&amp;""))&gt;0,TRIM(A345&amp;"")&lt;&gt;"—",LEN(TRIM(B345&amp;""))&gt;0,TRIM(B345&amp;"")&lt;&gt;"—",LEN(TRIM(C345&amp;""))&gt;0,TRIM(C345&amp;"")&lt;&gt;"—",ISNUMBER(C345),LEN(TRIM(D345&amp;""))&gt;0,TRIM(D345&amp;"")&lt;&gt;"—",ISNUMBER(D345),LEN(TRIM(E345&amp;""))&gt;0,TRIM(E345&amp;"")&lt;&gt;"—",ISNUMBER(E345),LEN(TRIM(F345&amp;""))&gt;0,TRIM(F345&amp;"")&lt;&gt;"—",LEN(TRIM(I345&amp;""))&gt;0,TRIM(I345&amp;"")&lt;&gt;"—",LEN(TRIM(J345&amp;""))&gt;0,TRIM(J345&amp;"")&lt;&gt;"—",LEN(TRIM(O345&amp;""))&gt;0,TRIM(O345&amp;"")&lt;&gt;"—"),"PASS","⚠ FAIL — "&amp;"a required cell is empty/placeholder or wrong type")</f>
        <v>PASS</v>
      </c>
    </row>
    <row r="346" customFormat="false" ht="64.15" hidden="false" customHeight="false" outlineLevel="0" collapsed="false">
      <c r="A346" s="11" t="s">
        <v>1034</v>
      </c>
      <c r="B346" s="68" t="s">
        <v>1035</v>
      </c>
      <c r="C346" s="28" t="n">
        <v>1</v>
      </c>
      <c r="D346" s="36" t="n">
        <v>984</v>
      </c>
      <c r="E346" s="36" t="n">
        <v>984</v>
      </c>
      <c r="F346" s="11" t="s">
        <v>969</v>
      </c>
      <c r="G346" s="15" t="s">
        <v>1036</v>
      </c>
      <c r="H346" s="15" t="s">
        <v>1037</v>
      </c>
      <c r="I346" s="11" t="n">
        <v>3</v>
      </c>
      <c r="J346" s="11" t="s">
        <v>963</v>
      </c>
      <c r="K346" s="15" t="s">
        <v>1035</v>
      </c>
      <c r="L346" s="68" t="s">
        <v>964</v>
      </c>
      <c r="M346" s="15" t="s">
        <v>1038</v>
      </c>
      <c r="N346" s="68" t="s">
        <v>1039</v>
      </c>
      <c r="O346" s="69" t="str">
        <f aca="false">IF(AND(LEN(TRIM($B346&amp;""))&gt;0,ISNUMBER($C346),$C346&gt;0,ISNUMBER($D346),$D346&gt;0,ISNUMBER($E346),$E346&gt;0,ABS($E346-$C346*$D346)&lt;=MAX(1,0.005*ABS($E346)),LEN(TRIM($M346&amp;""))&gt;0,TRIM($M346&amp;"")&lt;&gt;"—",LEN(TRIM($P346&amp;""))=0),"PASS","FAIL — "&amp;IF(LEN(TRIM($P346&amp;""))&gt;0,TRIM($P346&amp;""),"line ≠ qty×unit, a required cell empty, or qty/£ non-positive"))</f>
        <v>PASS</v>
      </c>
      <c r="P346" s="70"/>
      <c r="Q346" s="16" t="str">
        <f aca="false">IF(AND(LEN(TRIM(A346&amp;""))&gt;0,TRIM(A346&amp;"")&lt;&gt;"—",LEN(TRIM(B346&amp;""))&gt;0,TRIM(B346&amp;"")&lt;&gt;"—",LEN(TRIM(C346&amp;""))&gt;0,TRIM(C346&amp;"")&lt;&gt;"—",ISNUMBER(C346),LEN(TRIM(D346&amp;""))&gt;0,TRIM(D346&amp;"")&lt;&gt;"—",ISNUMBER(D346),LEN(TRIM(E346&amp;""))&gt;0,TRIM(E346&amp;"")&lt;&gt;"—",ISNUMBER(E346),LEN(TRIM(F346&amp;""))&gt;0,TRIM(F346&amp;"")&lt;&gt;"—",LEN(TRIM(I346&amp;""))&gt;0,TRIM(I346&amp;"")&lt;&gt;"—",LEN(TRIM(J346&amp;""))&gt;0,TRIM(J346&amp;"")&lt;&gt;"—",LEN(TRIM(O346&amp;""))&gt;0,TRIM(O346&amp;"")&lt;&gt;"—"),"PASS","⚠ FAIL — "&amp;"a required cell is empty/placeholder or wrong type")</f>
        <v>PASS</v>
      </c>
    </row>
    <row r="347" customFormat="false" ht="43.25" hidden="false" customHeight="false" outlineLevel="0" collapsed="false">
      <c r="A347" s="11" t="s">
        <v>1040</v>
      </c>
      <c r="B347" s="68" t="s">
        <v>1041</v>
      </c>
      <c r="C347" s="28" t="n">
        <v>1</v>
      </c>
      <c r="D347" s="36" t="n">
        <v>500</v>
      </c>
      <c r="E347" s="36" t="n">
        <v>500</v>
      </c>
      <c r="F347" s="11" t="s">
        <v>969</v>
      </c>
      <c r="G347" s="15" t="s">
        <v>1042</v>
      </c>
      <c r="H347" s="15" t="s">
        <v>1043</v>
      </c>
      <c r="I347" s="11" t="n">
        <v>3</v>
      </c>
      <c r="J347" s="11" t="s">
        <v>963</v>
      </c>
      <c r="K347" s="15" t="s">
        <v>1041</v>
      </c>
      <c r="L347" s="68" t="s">
        <v>964</v>
      </c>
      <c r="M347" s="15" t="s">
        <v>1044</v>
      </c>
      <c r="N347" s="68" t="s">
        <v>1045</v>
      </c>
      <c r="O347" s="69" t="str">
        <f aca="false">IF(AND(LEN(TRIM($B347&amp;""))&gt;0,ISNUMBER($C347),$C347&gt;0,ISNUMBER($D347),$D347&gt;0,ISNUMBER($E347),$E347&gt;0,ABS($E347-$C347*$D347)&lt;=MAX(1,0.005*ABS($E347)),LEN(TRIM($M347&amp;""))&gt;0,TRIM($M347&amp;"")&lt;&gt;"—",LEN(TRIM($P347&amp;""))=0),"PASS","FAIL — "&amp;IF(LEN(TRIM($P347&amp;""))&gt;0,TRIM($P347&amp;""),"line ≠ qty×unit, a required cell empty, or qty/£ non-positive"))</f>
        <v>PASS</v>
      </c>
      <c r="P347" s="70"/>
      <c r="Q347" s="16" t="str">
        <f aca="false">IF(AND(LEN(TRIM(A347&amp;""))&gt;0,TRIM(A347&amp;"")&lt;&gt;"—",LEN(TRIM(B347&amp;""))&gt;0,TRIM(B347&amp;"")&lt;&gt;"—",LEN(TRIM(C347&amp;""))&gt;0,TRIM(C347&amp;"")&lt;&gt;"—",ISNUMBER(C347),LEN(TRIM(D347&amp;""))&gt;0,TRIM(D347&amp;"")&lt;&gt;"—",ISNUMBER(D347),LEN(TRIM(E347&amp;""))&gt;0,TRIM(E347&amp;"")&lt;&gt;"—",ISNUMBER(E347),LEN(TRIM(F347&amp;""))&gt;0,TRIM(F347&amp;"")&lt;&gt;"—",LEN(TRIM(I347&amp;""))&gt;0,TRIM(I347&amp;"")&lt;&gt;"—",LEN(TRIM(J347&amp;""))&gt;0,TRIM(J347&amp;"")&lt;&gt;"—",LEN(TRIM(O347&amp;""))&gt;0,TRIM(O347&amp;"")&lt;&gt;"—"),"PASS","⚠ FAIL — "&amp;"a required cell is empty/placeholder or wrong type")</f>
        <v>PASS</v>
      </c>
    </row>
    <row r="348" customFormat="false" ht="43.25" hidden="false" customHeight="false" outlineLevel="0" collapsed="false">
      <c r="A348" s="11" t="s">
        <v>1046</v>
      </c>
      <c r="B348" s="68" t="s">
        <v>1047</v>
      </c>
      <c r="C348" s="28" t="n">
        <v>1</v>
      </c>
      <c r="D348" s="36" t="n">
        <v>1236</v>
      </c>
      <c r="E348" s="36" t="n">
        <v>1236</v>
      </c>
      <c r="F348" s="11" t="s">
        <v>969</v>
      </c>
      <c r="G348" s="15" t="s">
        <v>1048</v>
      </c>
      <c r="H348" s="15" t="s">
        <v>1049</v>
      </c>
      <c r="I348" s="11" t="n">
        <v>3</v>
      </c>
      <c r="J348" s="11" t="s">
        <v>963</v>
      </c>
      <c r="K348" s="15" t="s">
        <v>1047</v>
      </c>
      <c r="L348" s="68" t="s">
        <v>964</v>
      </c>
      <c r="M348" s="15" t="s">
        <v>1050</v>
      </c>
      <c r="N348" s="68" t="s">
        <v>1051</v>
      </c>
      <c r="O348" s="69" t="str">
        <f aca="false">IF(AND(LEN(TRIM($B348&amp;""))&gt;0,ISNUMBER($C348),$C348&gt;0,ISNUMBER($D348),$D348&gt;0,ISNUMBER($E348),$E348&gt;0,ABS($E348-$C348*$D348)&lt;=MAX(1,0.005*ABS($E348)),LEN(TRIM($M348&amp;""))&gt;0,TRIM($M348&amp;"")&lt;&gt;"—",LEN(TRIM($P348&amp;""))=0),"PASS","FAIL — "&amp;IF(LEN(TRIM($P348&amp;""))&gt;0,TRIM($P348&amp;""),"line ≠ qty×unit, a required cell empty, or qty/£ non-positive"))</f>
        <v>PASS</v>
      </c>
      <c r="P348" s="70"/>
      <c r="Q348" s="16" t="str">
        <f aca="false">IF(AND(LEN(TRIM(A348&amp;""))&gt;0,TRIM(A348&amp;"")&lt;&gt;"—",LEN(TRIM(B348&amp;""))&gt;0,TRIM(B348&amp;"")&lt;&gt;"—",LEN(TRIM(C348&amp;""))&gt;0,TRIM(C348&amp;"")&lt;&gt;"—",ISNUMBER(C348),LEN(TRIM(D348&amp;""))&gt;0,TRIM(D348&amp;"")&lt;&gt;"—",ISNUMBER(D348),LEN(TRIM(E348&amp;""))&gt;0,TRIM(E348&amp;"")&lt;&gt;"—",ISNUMBER(E348),LEN(TRIM(F348&amp;""))&gt;0,TRIM(F348&amp;"")&lt;&gt;"—",LEN(TRIM(I348&amp;""))&gt;0,TRIM(I348&amp;"")&lt;&gt;"—",LEN(TRIM(J348&amp;""))&gt;0,TRIM(J348&amp;"")&lt;&gt;"—",LEN(TRIM(O348&amp;""))&gt;0,TRIM(O348&amp;"")&lt;&gt;"—"),"PASS","⚠ FAIL — "&amp;"a required cell is empty/placeholder or wrong type")</f>
        <v>PASS</v>
      </c>
    </row>
    <row r="349" customFormat="false" ht="43.25" hidden="false" customHeight="false" outlineLevel="0" collapsed="false">
      <c r="A349" s="11" t="s">
        <v>1052</v>
      </c>
      <c r="B349" s="68" t="s">
        <v>1053</v>
      </c>
      <c r="C349" s="28" t="n">
        <v>1</v>
      </c>
      <c r="D349" s="36" t="n">
        <v>879</v>
      </c>
      <c r="E349" s="36" t="n">
        <v>879</v>
      </c>
      <c r="F349" s="11" t="s">
        <v>969</v>
      </c>
      <c r="G349" s="15" t="s">
        <v>1054</v>
      </c>
      <c r="H349" s="15" t="s">
        <v>1055</v>
      </c>
      <c r="I349" s="11" t="n">
        <v>3</v>
      </c>
      <c r="J349" s="11" t="s">
        <v>963</v>
      </c>
      <c r="K349" s="15" t="s">
        <v>1053</v>
      </c>
      <c r="L349" s="68" t="s">
        <v>964</v>
      </c>
      <c r="M349" s="15" t="s">
        <v>1056</v>
      </c>
      <c r="N349" s="68" t="s">
        <v>1057</v>
      </c>
      <c r="O349" s="69" t="str">
        <f aca="false">IF(AND(LEN(TRIM($B349&amp;""))&gt;0,ISNUMBER($C349),$C349&gt;0,ISNUMBER($D349),$D349&gt;0,ISNUMBER($E349),$E349&gt;0,ABS($E349-$C349*$D349)&lt;=MAX(1,0.005*ABS($E349)),LEN(TRIM($M349&amp;""))&gt;0,TRIM($M349&amp;"")&lt;&gt;"—",LEN(TRIM($P349&amp;""))=0),"PASS","FAIL — "&amp;IF(LEN(TRIM($P349&amp;""))&gt;0,TRIM($P349&amp;""),"line ≠ qty×unit, a required cell empty, or qty/£ non-positive"))</f>
        <v>PASS</v>
      </c>
      <c r="P349" s="70"/>
      <c r="Q349" s="16" t="str">
        <f aca="false">IF(AND(LEN(TRIM(A349&amp;""))&gt;0,TRIM(A349&amp;"")&lt;&gt;"—",LEN(TRIM(B349&amp;""))&gt;0,TRIM(B349&amp;"")&lt;&gt;"—",LEN(TRIM(C349&amp;""))&gt;0,TRIM(C349&amp;"")&lt;&gt;"—",ISNUMBER(C349),LEN(TRIM(D349&amp;""))&gt;0,TRIM(D349&amp;"")&lt;&gt;"—",ISNUMBER(D349),LEN(TRIM(E349&amp;""))&gt;0,TRIM(E349&amp;"")&lt;&gt;"—",ISNUMBER(E349),LEN(TRIM(F349&amp;""))&gt;0,TRIM(F349&amp;"")&lt;&gt;"—",LEN(TRIM(I349&amp;""))&gt;0,TRIM(I349&amp;"")&lt;&gt;"—",LEN(TRIM(J349&amp;""))&gt;0,TRIM(J349&amp;"")&lt;&gt;"—",LEN(TRIM(O349&amp;""))&gt;0,TRIM(O349&amp;"")&lt;&gt;"—"),"PASS","⚠ FAIL — "&amp;"a required cell is empty/placeholder or wrong type")</f>
        <v>PASS</v>
      </c>
    </row>
    <row r="350" customFormat="false" ht="43.25" hidden="false" customHeight="false" outlineLevel="0" collapsed="false">
      <c r="A350" s="11" t="s">
        <v>1058</v>
      </c>
      <c r="B350" s="68" t="s">
        <v>1059</v>
      </c>
      <c r="C350" s="28" t="n">
        <v>1</v>
      </c>
      <c r="D350" s="36" t="n">
        <v>516</v>
      </c>
      <c r="E350" s="36" t="n">
        <v>516</v>
      </c>
      <c r="F350" s="11" t="s">
        <v>969</v>
      </c>
      <c r="G350" s="15" t="s">
        <v>1060</v>
      </c>
      <c r="H350" s="15" t="s">
        <v>1061</v>
      </c>
      <c r="I350" s="11" t="n">
        <v>3</v>
      </c>
      <c r="J350" s="11" t="s">
        <v>963</v>
      </c>
      <c r="K350" s="15" t="s">
        <v>1059</v>
      </c>
      <c r="L350" s="68" t="s">
        <v>964</v>
      </c>
      <c r="M350" s="15" t="s">
        <v>1062</v>
      </c>
      <c r="N350" s="68" t="s">
        <v>1063</v>
      </c>
      <c r="O350" s="69" t="str">
        <f aca="false">IF(AND(LEN(TRIM($B350&amp;""))&gt;0,ISNUMBER($C350),$C350&gt;0,ISNUMBER($D350),$D350&gt;0,ISNUMBER($E350),$E350&gt;0,ABS($E350-$C350*$D350)&lt;=MAX(1,0.005*ABS($E350)),LEN(TRIM($M350&amp;""))&gt;0,TRIM($M350&amp;"")&lt;&gt;"—",LEN(TRIM($P350&amp;""))=0),"PASS","FAIL — "&amp;IF(LEN(TRIM($P350&amp;""))&gt;0,TRIM($P350&amp;""),"line ≠ qty×unit, a required cell empty, or qty/£ non-positive"))</f>
        <v>PASS</v>
      </c>
      <c r="P350" s="70"/>
      <c r="Q350" s="16" t="str">
        <f aca="false">IF(AND(LEN(TRIM(A350&amp;""))&gt;0,TRIM(A350&amp;"")&lt;&gt;"—",LEN(TRIM(B350&amp;""))&gt;0,TRIM(B350&amp;"")&lt;&gt;"—",LEN(TRIM(C350&amp;""))&gt;0,TRIM(C350&amp;"")&lt;&gt;"—",ISNUMBER(C350),LEN(TRIM(D350&amp;""))&gt;0,TRIM(D350&amp;"")&lt;&gt;"—",ISNUMBER(D350),LEN(TRIM(E350&amp;""))&gt;0,TRIM(E350&amp;"")&lt;&gt;"—",ISNUMBER(E350),LEN(TRIM(F350&amp;""))&gt;0,TRIM(F350&amp;"")&lt;&gt;"—",LEN(TRIM(I350&amp;""))&gt;0,TRIM(I350&amp;"")&lt;&gt;"—",LEN(TRIM(J350&amp;""))&gt;0,TRIM(J350&amp;"")&lt;&gt;"—",LEN(TRIM(O350&amp;""))&gt;0,TRIM(O350&amp;"")&lt;&gt;"—"),"PASS","⚠ FAIL — "&amp;"a required cell is empty/placeholder or wrong type")</f>
        <v>PASS</v>
      </c>
    </row>
    <row r="351" customFormat="false" ht="64.15" hidden="false" customHeight="false" outlineLevel="0" collapsed="false">
      <c r="A351" s="11" t="s">
        <v>1064</v>
      </c>
      <c r="B351" s="68" t="s">
        <v>1065</v>
      </c>
      <c r="C351" s="28" t="n">
        <v>1</v>
      </c>
      <c r="D351" s="36" t="n">
        <v>1138</v>
      </c>
      <c r="E351" s="36" t="n">
        <v>1138</v>
      </c>
      <c r="F351" s="11" t="s">
        <v>969</v>
      </c>
      <c r="G351" s="15" t="s">
        <v>1066</v>
      </c>
      <c r="H351" s="15" t="s">
        <v>1067</v>
      </c>
      <c r="I351" s="11" t="n">
        <v>3</v>
      </c>
      <c r="J351" s="11" t="s">
        <v>963</v>
      </c>
      <c r="K351" s="15" t="s">
        <v>1065</v>
      </c>
      <c r="L351" s="68" t="s">
        <v>964</v>
      </c>
      <c r="M351" s="15" t="s">
        <v>1068</v>
      </c>
      <c r="N351" s="68" t="s">
        <v>1069</v>
      </c>
      <c r="O351" s="69" t="str">
        <f aca="false">IF(AND(LEN(TRIM($B351&amp;""))&gt;0,ISNUMBER($C351),$C351&gt;0,ISNUMBER($D351),$D351&gt;0,ISNUMBER($E351),$E351&gt;0,ABS($E351-$C351*$D351)&lt;=MAX(1,0.005*ABS($E351)),LEN(TRIM($M351&amp;""))&gt;0,TRIM($M351&amp;"")&lt;&gt;"—",LEN(TRIM($P351&amp;""))=0),"PASS","FAIL — "&amp;IF(LEN(TRIM($P351&amp;""))&gt;0,TRIM($P351&amp;""),"line ≠ qty×unit, a required cell empty, or qty/£ non-positive"))</f>
        <v>PASS</v>
      </c>
      <c r="P351" s="70"/>
      <c r="Q351" s="16" t="str">
        <f aca="false">IF(AND(LEN(TRIM(A351&amp;""))&gt;0,TRIM(A351&amp;"")&lt;&gt;"—",LEN(TRIM(B351&amp;""))&gt;0,TRIM(B351&amp;"")&lt;&gt;"—",LEN(TRIM(C351&amp;""))&gt;0,TRIM(C351&amp;"")&lt;&gt;"—",ISNUMBER(C351),LEN(TRIM(D351&amp;""))&gt;0,TRIM(D351&amp;"")&lt;&gt;"—",ISNUMBER(D351),LEN(TRIM(E351&amp;""))&gt;0,TRIM(E351&amp;"")&lt;&gt;"—",ISNUMBER(E351),LEN(TRIM(F351&amp;""))&gt;0,TRIM(F351&amp;"")&lt;&gt;"—",LEN(TRIM(I351&amp;""))&gt;0,TRIM(I351&amp;"")&lt;&gt;"—",LEN(TRIM(J351&amp;""))&gt;0,TRIM(J351&amp;"")&lt;&gt;"—",LEN(TRIM(O351&amp;""))&gt;0,TRIM(O351&amp;"")&lt;&gt;"—"),"PASS","⚠ FAIL — "&amp;"a required cell is empty/placeholder or wrong type")</f>
        <v>PASS</v>
      </c>
    </row>
    <row r="352" customFormat="false" ht="43.25" hidden="false" customHeight="false" outlineLevel="0" collapsed="false">
      <c r="A352" s="11" t="s">
        <v>1070</v>
      </c>
      <c r="B352" s="68" t="s">
        <v>1071</v>
      </c>
      <c r="C352" s="28" t="n">
        <v>1</v>
      </c>
      <c r="D352" s="36" t="n">
        <v>312</v>
      </c>
      <c r="E352" s="36" t="n">
        <v>312</v>
      </c>
      <c r="F352" s="11" t="s">
        <v>969</v>
      </c>
      <c r="G352" s="15" t="s">
        <v>1072</v>
      </c>
      <c r="H352" s="15" t="s">
        <v>1073</v>
      </c>
      <c r="I352" s="11" t="n">
        <v>3</v>
      </c>
      <c r="J352" s="11" t="s">
        <v>963</v>
      </c>
      <c r="K352" s="15" t="s">
        <v>1071</v>
      </c>
      <c r="L352" s="68" t="s">
        <v>964</v>
      </c>
      <c r="M352" s="15" t="s">
        <v>1074</v>
      </c>
      <c r="N352" s="68" t="s">
        <v>1075</v>
      </c>
      <c r="O352" s="69" t="str">
        <f aca="false">IF(AND(LEN(TRIM($B352&amp;""))&gt;0,ISNUMBER($C352),$C352&gt;0,ISNUMBER($D352),$D352&gt;0,ISNUMBER($E352),$E352&gt;0,ABS($E352-$C352*$D352)&lt;=MAX(1,0.005*ABS($E352)),LEN(TRIM($M352&amp;""))&gt;0,TRIM($M352&amp;"")&lt;&gt;"—",LEN(TRIM($P352&amp;""))=0),"PASS","FAIL — "&amp;IF(LEN(TRIM($P352&amp;""))&gt;0,TRIM($P352&amp;""),"line ≠ qty×unit, a required cell empty, or qty/£ non-positive"))</f>
        <v>PASS</v>
      </c>
      <c r="P352" s="70"/>
      <c r="Q352" s="16" t="str">
        <f aca="false">IF(AND(LEN(TRIM(A352&amp;""))&gt;0,TRIM(A352&amp;"")&lt;&gt;"—",LEN(TRIM(B352&amp;""))&gt;0,TRIM(B352&amp;"")&lt;&gt;"—",LEN(TRIM(C352&amp;""))&gt;0,TRIM(C352&amp;"")&lt;&gt;"—",ISNUMBER(C352),LEN(TRIM(D352&amp;""))&gt;0,TRIM(D352&amp;"")&lt;&gt;"—",ISNUMBER(D352),LEN(TRIM(E352&amp;""))&gt;0,TRIM(E352&amp;"")&lt;&gt;"—",ISNUMBER(E352),LEN(TRIM(F352&amp;""))&gt;0,TRIM(F352&amp;"")&lt;&gt;"—",LEN(TRIM(I352&amp;""))&gt;0,TRIM(I352&amp;"")&lt;&gt;"—",LEN(TRIM(J352&amp;""))&gt;0,TRIM(J352&amp;"")&lt;&gt;"—",LEN(TRIM(O352&amp;""))&gt;0,TRIM(O352&amp;"")&lt;&gt;"—"),"PASS","⚠ FAIL — "&amp;"a required cell is empty/placeholder or wrong type")</f>
        <v>PASS</v>
      </c>
    </row>
    <row r="353" customFormat="false" ht="43.25" hidden="false" customHeight="false" outlineLevel="0" collapsed="false">
      <c r="A353" s="11" t="s">
        <v>1076</v>
      </c>
      <c r="B353" s="68" t="s">
        <v>1077</v>
      </c>
      <c r="C353" s="28" t="n">
        <v>1</v>
      </c>
      <c r="D353" s="36" t="n">
        <v>1273</v>
      </c>
      <c r="E353" s="36" t="n">
        <v>1273</v>
      </c>
      <c r="F353" s="11" t="s">
        <v>969</v>
      </c>
      <c r="G353" s="15" t="s">
        <v>1078</v>
      </c>
      <c r="H353" s="15" t="s">
        <v>1079</v>
      </c>
      <c r="I353" s="11" t="n">
        <v>3</v>
      </c>
      <c r="J353" s="11" t="s">
        <v>963</v>
      </c>
      <c r="K353" s="15" t="s">
        <v>1077</v>
      </c>
      <c r="L353" s="68" t="s">
        <v>964</v>
      </c>
      <c r="M353" s="15" t="s">
        <v>1080</v>
      </c>
      <c r="N353" s="68" t="s">
        <v>1081</v>
      </c>
      <c r="O353" s="69" t="str">
        <f aca="false">IF(AND(LEN(TRIM($B353&amp;""))&gt;0,ISNUMBER($C353),$C353&gt;0,ISNUMBER($D353),$D353&gt;0,ISNUMBER($E353),$E353&gt;0,ABS($E353-$C353*$D353)&lt;=MAX(1,0.005*ABS($E353)),LEN(TRIM($M353&amp;""))&gt;0,TRIM($M353&amp;"")&lt;&gt;"—",LEN(TRIM($P353&amp;""))=0),"PASS","FAIL — "&amp;IF(LEN(TRIM($P353&amp;""))&gt;0,TRIM($P353&amp;""),"line ≠ qty×unit, a required cell empty, or qty/£ non-positive"))</f>
        <v>PASS</v>
      </c>
      <c r="P353" s="70"/>
      <c r="Q353" s="16" t="str">
        <f aca="false">IF(AND(LEN(TRIM(A353&amp;""))&gt;0,TRIM(A353&amp;"")&lt;&gt;"—",LEN(TRIM(B353&amp;""))&gt;0,TRIM(B353&amp;"")&lt;&gt;"—",LEN(TRIM(C353&amp;""))&gt;0,TRIM(C353&amp;"")&lt;&gt;"—",ISNUMBER(C353),LEN(TRIM(D353&amp;""))&gt;0,TRIM(D353&amp;"")&lt;&gt;"—",ISNUMBER(D353),LEN(TRIM(E353&amp;""))&gt;0,TRIM(E353&amp;"")&lt;&gt;"—",ISNUMBER(E353),LEN(TRIM(F353&amp;""))&gt;0,TRIM(F353&amp;"")&lt;&gt;"—",LEN(TRIM(I353&amp;""))&gt;0,TRIM(I353&amp;"")&lt;&gt;"—",LEN(TRIM(J353&amp;""))&gt;0,TRIM(J353&amp;"")&lt;&gt;"—",LEN(TRIM(O353&amp;""))&gt;0,TRIM(O353&amp;"")&lt;&gt;"—"),"PASS","⚠ FAIL — "&amp;"a required cell is empty/placeholder or wrong type")</f>
        <v>PASS</v>
      </c>
    </row>
    <row r="354" customFormat="false" ht="43.25" hidden="false" customHeight="false" outlineLevel="0" collapsed="false">
      <c r="A354" s="11" t="s">
        <v>1082</v>
      </c>
      <c r="B354" s="68" t="s">
        <v>1083</v>
      </c>
      <c r="C354" s="28" t="n">
        <v>1</v>
      </c>
      <c r="D354" s="36" t="n">
        <v>1041</v>
      </c>
      <c r="E354" s="36" t="n">
        <v>1041</v>
      </c>
      <c r="F354" s="11" t="s">
        <v>969</v>
      </c>
      <c r="G354" s="15" t="s">
        <v>1084</v>
      </c>
      <c r="H354" s="15" t="s">
        <v>1085</v>
      </c>
      <c r="I354" s="11" t="n">
        <v>3</v>
      </c>
      <c r="J354" s="11" t="s">
        <v>963</v>
      </c>
      <c r="K354" s="15" t="s">
        <v>1083</v>
      </c>
      <c r="L354" s="68" t="s">
        <v>964</v>
      </c>
      <c r="M354" s="15" t="s">
        <v>1086</v>
      </c>
      <c r="N354" s="68" t="s">
        <v>1087</v>
      </c>
      <c r="O354" s="69" t="str">
        <f aca="false">IF(AND(LEN(TRIM($B354&amp;""))&gt;0,ISNUMBER($C354),$C354&gt;0,ISNUMBER($D354),$D354&gt;0,ISNUMBER($E354),$E354&gt;0,ABS($E354-$C354*$D354)&lt;=MAX(1,0.005*ABS($E354)),LEN(TRIM($M354&amp;""))&gt;0,TRIM($M354&amp;"")&lt;&gt;"—",LEN(TRIM($P354&amp;""))=0),"PASS","FAIL — "&amp;IF(LEN(TRIM($P354&amp;""))&gt;0,TRIM($P354&amp;""),"line ≠ qty×unit, a required cell empty, or qty/£ non-positive"))</f>
        <v>PASS</v>
      </c>
      <c r="P354" s="70"/>
      <c r="Q354" s="16" t="str">
        <f aca="false">IF(AND(LEN(TRIM(A354&amp;""))&gt;0,TRIM(A354&amp;"")&lt;&gt;"—",LEN(TRIM(B354&amp;""))&gt;0,TRIM(B354&amp;"")&lt;&gt;"—",LEN(TRIM(C354&amp;""))&gt;0,TRIM(C354&amp;"")&lt;&gt;"—",ISNUMBER(C354),LEN(TRIM(D354&amp;""))&gt;0,TRIM(D354&amp;"")&lt;&gt;"—",ISNUMBER(D354),LEN(TRIM(E354&amp;""))&gt;0,TRIM(E354&amp;"")&lt;&gt;"—",ISNUMBER(E354),LEN(TRIM(F354&amp;""))&gt;0,TRIM(F354&amp;"")&lt;&gt;"—",LEN(TRIM(I354&amp;""))&gt;0,TRIM(I354&amp;"")&lt;&gt;"—",LEN(TRIM(J354&amp;""))&gt;0,TRIM(J354&amp;"")&lt;&gt;"—",LEN(TRIM(O354&amp;""))&gt;0,TRIM(O354&amp;"")&lt;&gt;"—"),"PASS","⚠ FAIL — "&amp;"a required cell is empty/placeholder or wrong type")</f>
        <v>PASS</v>
      </c>
    </row>
    <row r="355" customFormat="false" ht="43.25" hidden="false" customHeight="false" outlineLevel="0" collapsed="false">
      <c r="A355" s="11" t="s">
        <v>1088</v>
      </c>
      <c r="B355" s="68" t="s">
        <v>1089</v>
      </c>
      <c r="C355" s="28" t="n">
        <v>1</v>
      </c>
      <c r="D355" s="36" t="n">
        <v>487</v>
      </c>
      <c r="E355" s="36" t="n">
        <v>487</v>
      </c>
      <c r="F355" s="11" t="s">
        <v>969</v>
      </c>
      <c r="G355" s="15" t="s">
        <v>1090</v>
      </c>
      <c r="H355" s="15" t="s">
        <v>1091</v>
      </c>
      <c r="I355" s="11" t="n">
        <v>3</v>
      </c>
      <c r="J355" s="11" t="s">
        <v>963</v>
      </c>
      <c r="K355" s="15" t="s">
        <v>1089</v>
      </c>
      <c r="L355" s="68" t="s">
        <v>964</v>
      </c>
      <c r="M355" s="15" t="s">
        <v>1092</v>
      </c>
      <c r="N355" s="68" t="s">
        <v>1093</v>
      </c>
      <c r="O355" s="69" t="str">
        <f aca="false">IF(AND(LEN(TRIM($B355&amp;""))&gt;0,ISNUMBER($C355),$C355&gt;0,ISNUMBER($D355),$D355&gt;0,ISNUMBER($E355),$E355&gt;0,ABS($E355-$C355*$D355)&lt;=MAX(1,0.005*ABS($E355)),LEN(TRIM($M355&amp;""))&gt;0,TRIM($M355&amp;"")&lt;&gt;"—",LEN(TRIM($P355&amp;""))=0),"PASS","FAIL — "&amp;IF(LEN(TRIM($P355&amp;""))&gt;0,TRIM($P355&amp;""),"line ≠ qty×unit, a required cell empty, or qty/£ non-positive"))</f>
        <v>PASS</v>
      </c>
      <c r="P355" s="70"/>
      <c r="Q355" s="16" t="str">
        <f aca="false">IF(AND(LEN(TRIM(A355&amp;""))&gt;0,TRIM(A355&amp;"")&lt;&gt;"—",LEN(TRIM(B355&amp;""))&gt;0,TRIM(B355&amp;"")&lt;&gt;"—",LEN(TRIM(C355&amp;""))&gt;0,TRIM(C355&amp;"")&lt;&gt;"—",ISNUMBER(C355),LEN(TRIM(D355&amp;""))&gt;0,TRIM(D355&amp;"")&lt;&gt;"—",ISNUMBER(D355),LEN(TRIM(E355&amp;""))&gt;0,TRIM(E355&amp;"")&lt;&gt;"—",ISNUMBER(E355),LEN(TRIM(F355&amp;""))&gt;0,TRIM(F355&amp;"")&lt;&gt;"—",LEN(TRIM(I355&amp;""))&gt;0,TRIM(I355&amp;"")&lt;&gt;"—",LEN(TRIM(J355&amp;""))&gt;0,TRIM(J355&amp;"")&lt;&gt;"—",LEN(TRIM(O355&amp;""))&gt;0,TRIM(O355&amp;"")&lt;&gt;"—"),"PASS","⚠ FAIL — "&amp;"a required cell is empty/placeholder or wrong type")</f>
        <v>PASS</v>
      </c>
    </row>
    <row r="356" customFormat="false" ht="43.25" hidden="false" customHeight="false" outlineLevel="0" collapsed="false">
      <c r="A356" s="11" t="s">
        <v>1094</v>
      </c>
      <c r="B356" s="68" t="s">
        <v>1095</v>
      </c>
      <c r="C356" s="28" t="n">
        <v>1</v>
      </c>
      <c r="D356" s="36" t="n">
        <v>909</v>
      </c>
      <c r="E356" s="36" t="n">
        <v>909</v>
      </c>
      <c r="F356" s="11" t="s">
        <v>969</v>
      </c>
      <c r="G356" s="15" t="s">
        <v>1096</v>
      </c>
      <c r="H356" s="15" t="s">
        <v>1097</v>
      </c>
      <c r="I356" s="11" t="n">
        <v>3</v>
      </c>
      <c r="J356" s="11" t="s">
        <v>963</v>
      </c>
      <c r="K356" s="15" t="s">
        <v>1095</v>
      </c>
      <c r="L356" s="68" t="s">
        <v>964</v>
      </c>
      <c r="M356" s="15" t="s">
        <v>1098</v>
      </c>
      <c r="N356" s="68" t="s">
        <v>1099</v>
      </c>
      <c r="O356" s="69" t="str">
        <f aca="false">IF(AND(LEN(TRIM($B356&amp;""))&gt;0,ISNUMBER($C356),$C356&gt;0,ISNUMBER($D356),$D356&gt;0,ISNUMBER($E356),$E356&gt;0,ABS($E356-$C356*$D356)&lt;=MAX(1,0.005*ABS($E356)),LEN(TRIM($M356&amp;""))&gt;0,TRIM($M356&amp;"")&lt;&gt;"—",LEN(TRIM($P356&amp;""))=0),"PASS","FAIL — "&amp;IF(LEN(TRIM($P356&amp;""))&gt;0,TRIM($P356&amp;""),"line ≠ qty×unit, a required cell empty, or qty/£ non-positive"))</f>
        <v>PASS</v>
      </c>
      <c r="P356" s="70"/>
      <c r="Q356" s="16" t="str">
        <f aca="false">IF(AND(LEN(TRIM(A356&amp;""))&gt;0,TRIM(A356&amp;"")&lt;&gt;"—",LEN(TRIM(B356&amp;""))&gt;0,TRIM(B356&amp;"")&lt;&gt;"—",LEN(TRIM(C356&amp;""))&gt;0,TRIM(C356&amp;"")&lt;&gt;"—",ISNUMBER(C356),LEN(TRIM(D356&amp;""))&gt;0,TRIM(D356&amp;"")&lt;&gt;"—",ISNUMBER(D356),LEN(TRIM(E356&amp;""))&gt;0,TRIM(E356&amp;"")&lt;&gt;"—",ISNUMBER(E356),LEN(TRIM(F356&amp;""))&gt;0,TRIM(F356&amp;"")&lt;&gt;"—",LEN(TRIM(I356&amp;""))&gt;0,TRIM(I356&amp;"")&lt;&gt;"—",LEN(TRIM(J356&amp;""))&gt;0,TRIM(J356&amp;"")&lt;&gt;"—",LEN(TRIM(O356&amp;""))&gt;0,TRIM(O356&amp;"")&lt;&gt;"—"),"PASS","⚠ FAIL — "&amp;"a required cell is empty/placeholder or wrong type")</f>
        <v>PASS</v>
      </c>
    </row>
    <row r="357" customFormat="false" ht="43.25" hidden="false" customHeight="false" outlineLevel="0" collapsed="false">
      <c r="A357" s="11" t="s">
        <v>1100</v>
      </c>
      <c r="B357" s="68" t="s">
        <v>1101</v>
      </c>
      <c r="C357" s="28" t="n">
        <v>1</v>
      </c>
      <c r="D357" s="36" t="n">
        <v>1039</v>
      </c>
      <c r="E357" s="36" t="n">
        <v>1039</v>
      </c>
      <c r="F357" s="11" t="s">
        <v>969</v>
      </c>
      <c r="G357" s="15" t="s">
        <v>1102</v>
      </c>
      <c r="H357" s="15" t="s">
        <v>1103</v>
      </c>
      <c r="I357" s="11" t="n">
        <v>3</v>
      </c>
      <c r="J357" s="11" t="s">
        <v>963</v>
      </c>
      <c r="K357" s="15" t="s">
        <v>1101</v>
      </c>
      <c r="L357" s="68" t="s">
        <v>964</v>
      </c>
      <c r="M357" s="15" t="s">
        <v>1104</v>
      </c>
      <c r="N357" s="68" t="s">
        <v>1105</v>
      </c>
      <c r="O357" s="69" t="str">
        <f aca="false">IF(AND(LEN(TRIM($B357&amp;""))&gt;0,ISNUMBER($C357),$C357&gt;0,ISNUMBER($D357),$D357&gt;0,ISNUMBER($E357),$E357&gt;0,ABS($E357-$C357*$D357)&lt;=MAX(1,0.005*ABS($E357)),LEN(TRIM($M357&amp;""))&gt;0,TRIM($M357&amp;"")&lt;&gt;"—",LEN(TRIM($P357&amp;""))=0),"PASS","FAIL — "&amp;IF(LEN(TRIM($P357&amp;""))&gt;0,TRIM($P357&amp;""),"line ≠ qty×unit, a required cell empty, or qty/£ non-positive"))</f>
        <v>PASS</v>
      </c>
      <c r="P357" s="70"/>
      <c r="Q357" s="16" t="str">
        <f aca="false">IF(AND(LEN(TRIM(A357&amp;""))&gt;0,TRIM(A357&amp;"")&lt;&gt;"—",LEN(TRIM(B357&amp;""))&gt;0,TRIM(B357&amp;"")&lt;&gt;"—",LEN(TRIM(C357&amp;""))&gt;0,TRIM(C357&amp;"")&lt;&gt;"—",ISNUMBER(C357),LEN(TRIM(D357&amp;""))&gt;0,TRIM(D357&amp;"")&lt;&gt;"—",ISNUMBER(D357),LEN(TRIM(E357&amp;""))&gt;0,TRIM(E357&amp;"")&lt;&gt;"—",ISNUMBER(E357),LEN(TRIM(F357&amp;""))&gt;0,TRIM(F357&amp;"")&lt;&gt;"—",LEN(TRIM(I357&amp;""))&gt;0,TRIM(I357&amp;"")&lt;&gt;"—",LEN(TRIM(J357&amp;""))&gt;0,TRIM(J357&amp;"")&lt;&gt;"—",LEN(TRIM(O357&amp;""))&gt;0,TRIM(O357&amp;"")&lt;&gt;"—"),"PASS","⚠ FAIL — "&amp;"a required cell is empty/placeholder or wrong type")</f>
        <v>PASS</v>
      </c>
    </row>
    <row r="358" customFormat="false" ht="43.25" hidden="false" customHeight="false" outlineLevel="0" collapsed="false">
      <c r="A358" s="11" t="s">
        <v>1106</v>
      </c>
      <c r="B358" s="68" t="s">
        <v>1107</v>
      </c>
      <c r="C358" s="28" t="n">
        <v>1</v>
      </c>
      <c r="D358" s="36" t="n">
        <v>1169</v>
      </c>
      <c r="E358" s="36" t="n">
        <v>1169</v>
      </c>
      <c r="F358" s="11" t="s">
        <v>969</v>
      </c>
      <c r="G358" s="15" t="s">
        <v>1108</v>
      </c>
      <c r="H358" s="15" t="s">
        <v>1109</v>
      </c>
      <c r="I358" s="11" t="n">
        <v>3</v>
      </c>
      <c r="J358" s="11" t="s">
        <v>963</v>
      </c>
      <c r="K358" s="15" t="s">
        <v>1107</v>
      </c>
      <c r="L358" s="68" t="s">
        <v>964</v>
      </c>
      <c r="M358" s="15" t="s">
        <v>1110</v>
      </c>
      <c r="N358" s="68" t="s">
        <v>1111</v>
      </c>
      <c r="O358" s="69" t="str">
        <f aca="false">IF(AND(LEN(TRIM($B358&amp;""))&gt;0,ISNUMBER($C358),$C358&gt;0,ISNUMBER($D358),$D358&gt;0,ISNUMBER($E358),$E358&gt;0,ABS($E358-$C358*$D358)&lt;=MAX(1,0.005*ABS($E358)),LEN(TRIM($M358&amp;""))&gt;0,TRIM($M358&amp;"")&lt;&gt;"—",LEN(TRIM($P358&amp;""))=0),"PASS","FAIL — "&amp;IF(LEN(TRIM($P358&amp;""))&gt;0,TRIM($P358&amp;""),"line ≠ qty×unit, a required cell empty, or qty/£ non-positive"))</f>
        <v>PASS</v>
      </c>
      <c r="P358" s="70"/>
      <c r="Q358" s="16" t="str">
        <f aca="false">IF(AND(LEN(TRIM(A358&amp;""))&gt;0,TRIM(A358&amp;"")&lt;&gt;"—",LEN(TRIM(B358&amp;""))&gt;0,TRIM(B358&amp;"")&lt;&gt;"—",LEN(TRIM(C358&amp;""))&gt;0,TRIM(C358&amp;"")&lt;&gt;"—",ISNUMBER(C358),LEN(TRIM(D358&amp;""))&gt;0,TRIM(D358&amp;"")&lt;&gt;"—",ISNUMBER(D358),LEN(TRIM(E358&amp;""))&gt;0,TRIM(E358&amp;"")&lt;&gt;"—",ISNUMBER(E358),LEN(TRIM(F358&amp;""))&gt;0,TRIM(F358&amp;"")&lt;&gt;"—",LEN(TRIM(I358&amp;""))&gt;0,TRIM(I358&amp;"")&lt;&gt;"—",LEN(TRIM(J358&amp;""))&gt;0,TRIM(J358&amp;"")&lt;&gt;"—",LEN(TRIM(O358&amp;""))&gt;0,TRIM(O358&amp;"")&lt;&gt;"—"),"PASS","⚠ FAIL — "&amp;"a required cell is empty/placeholder or wrong type")</f>
        <v>PASS</v>
      </c>
    </row>
    <row r="359" customFormat="false" ht="43.25" hidden="false" customHeight="false" outlineLevel="0" collapsed="false">
      <c r="A359" s="11" t="s">
        <v>1112</v>
      </c>
      <c r="B359" s="68" t="s">
        <v>1113</v>
      </c>
      <c r="C359" s="28" t="n">
        <v>1</v>
      </c>
      <c r="D359" s="36" t="n">
        <v>1169</v>
      </c>
      <c r="E359" s="36" t="n">
        <v>1169</v>
      </c>
      <c r="F359" s="11" t="s">
        <v>969</v>
      </c>
      <c r="G359" s="15" t="s">
        <v>1108</v>
      </c>
      <c r="H359" s="15" t="s">
        <v>1109</v>
      </c>
      <c r="I359" s="11" t="n">
        <v>3</v>
      </c>
      <c r="J359" s="11" t="s">
        <v>963</v>
      </c>
      <c r="K359" s="15" t="s">
        <v>1113</v>
      </c>
      <c r="L359" s="68" t="s">
        <v>964</v>
      </c>
      <c r="M359" s="15" t="s">
        <v>1110</v>
      </c>
      <c r="N359" s="68" t="s">
        <v>1111</v>
      </c>
      <c r="O359" s="69" t="str">
        <f aca="false">IF(AND(LEN(TRIM($B359&amp;""))&gt;0,ISNUMBER($C359),$C359&gt;0,ISNUMBER($D359),$D359&gt;0,ISNUMBER($E359),$E359&gt;0,ABS($E359-$C359*$D359)&lt;=MAX(1,0.005*ABS($E359)),LEN(TRIM($M359&amp;""))&gt;0,TRIM($M359&amp;"")&lt;&gt;"—",LEN(TRIM($P359&amp;""))=0),"PASS","FAIL — "&amp;IF(LEN(TRIM($P359&amp;""))&gt;0,TRIM($P359&amp;""),"line ≠ qty×unit, a required cell empty, or qty/£ non-positive"))</f>
        <v>PASS</v>
      </c>
      <c r="P359" s="70"/>
      <c r="Q359" s="16" t="str">
        <f aca="false">IF(AND(LEN(TRIM(A359&amp;""))&gt;0,TRIM(A359&amp;"")&lt;&gt;"—",LEN(TRIM(B359&amp;""))&gt;0,TRIM(B359&amp;"")&lt;&gt;"—",LEN(TRIM(C359&amp;""))&gt;0,TRIM(C359&amp;"")&lt;&gt;"—",ISNUMBER(C359),LEN(TRIM(D359&amp;""))&gt;0,TRIM(D359&amp;"")&lt;&gt;"—",ISNUMBER(D359),LEN(TRIM(E359&amp;""))&gt;0,TRIM(E359&amp;"")&lt;&gt;"—",ISNUMBER(E359),LEN(TRIM(F359&amp;""))&gt;0,TRIM(F359&amp;"")&lt;&gt;"—",LEN(TRIM(I359&amp;""))&gt;0,TRIM(I359&amp;"")&lt;&gt;"—",LEN(TRIM(J359&amp;""))&gt;0,TRIM(J359&amp;"")&lt;&gt;"—",LEN(TRIM(O359&amp;""))&gt;0,TRIM(O359&amp;"")&lt;&gt;"—"),"PASS","⚠ FAIL — "&amp;"a required cell is empty/placeholder or wrong type")</f>
        <v>PASS</v>
      </c>
    </row>
    <row r="360" customFormat="false" ht="43.25" hidden="false" customHeight="false" outlineLevel="0" collapsed="false">
      <c r="A360" s="11" t="s">
        <v>1114</v>
      </c>
      <c r="B360" s="68" t="s">
        <v>1115</v>
      </c>
      <c r="C360" s="28" t="n">
        <v>1</v>
      </c>
      <c r="D360" s="36" t="n">
        <v>413</v>
      </c>
      <c r="E360" s="36" t="n">
        <v>413</v>
      </c>
      <c r="F360" s="11" t="s">
        <v>960</v>
      </c>
      <c r="G360" s="15" t="s">
        <v>1116</v>
      </c>
      <c r="H360" s="15" t="s">
        <v>1117</v>
      </c>
      <c r="I360" s="11" t="n">
        <v>3</v>
      </c>
      <c r="J360" s="11" t="s">
        <v>963</v>
      </c>
      <c r="K360" s="15" t="s">
        <v>1115</v>
      </c>
      <c r="L360" s="68" t="s">
        <v>964</v>
      </c>
      <c r="M360" s="15" t="s">
        <v>1118</v>
      </c>
      <c r="N360" s="68" t="s">
        <v>1119</v>
      </c>
      <c r="O360" s="69" t="str">
        <f aca="false">IF(AND(LEN(TRIM($B360&amp;""))&gt;0,ISNUMBER($C360),$C360&gt;0,ISNUMBER($D360),$D360&gt;0,ISNUMBER($E360),$E360&gt;0,ABS($E360-$C360*$D360)&lt;=MAX(1,0.005*ABS($E360)),LEN(TRIM($M360&amp;""))&gt;0,TRIM($M360&amp;"")&lt;&gt;"—",LEN(TRIM($P360&amp;""))=0),"PASS","FAIL — "&amp;IF(LEN(TRIM($P360&amp;""))&gt;0,TRIM($P360&amp;""),"line ≠ qty×unit, a required cell empty, or qty/£ non-positive"))</f>
        <v>PASS</v>
      </c>
      <c r="P360" s="70"/>
      <c r="Q360" s="16" t="str">
        <f aca="false">IF(AND(LEN(TRIM(A360&amp;""))&gt;0,TRIM(A360&amp;"")&lt;&gt;"—",LEN(TRIM(B360&amp;""))&gt;0,TRIM(B360&amp;"")&lt;&gt;"—",LEN(TRIM(C360&amp;""))&gt;0,TRIM(C360&amp;"")&lt;&gt;"—",ISNUMBER(C360),LEN(TRIM(D360&amp;""))&gt;0,TRIM(D360&amp;"")&lt;&gt;"—",ISNUMBER(D360),LEN(TRIM(E360&amp;""))&gt;0,TRIM(E360&amp;"")&lt;&gt;"—",ISNUMBER(E360),LEN(TRIM(F360&amp;""))&gt;0,TRIM(F360&amp;"")&lt;&gt;"—",LEN(TRIM(I360&amp;""))&gt;0,TRIM(I360&amp;"")&lt;&gt;"—",LEN(TRIM(J360&amp;""))&gt;0,TRIM(J360&amp;"")&lt;&gt;"—",LEN(TRIM(O360&amp;""))&gt;0,TRIM(O360&amp;"")&lt;&gt;"—"),"PASS","⚠ FAIL — "&amp;"a required cell is empty/placeholder or wrong type")</f>
        <v>PASS</v>
      </c>
    </row>
    <row r="361" customFormat="false" ht="43.25" hidden="false" customHeight="false" outlineLevel="0" collapsed="false">
      <c r="A361" s="11" t="s">
        <v>1120</v>
      </c>
      <c r="B361" s="68" t="s">
        <v>1121</v>
      </c>
      <c r="C361" s="28" t="n">
        <v>1</v>
      </c>
      <c r="D361" s="36" t="n">
        <v>921</v>
      </c>
      <c r="E361" s="36" t="n">
        <v>921</v>
      </c>
      <c r="F361" s="11" t="s">
        <v>969</v>
      </c>
      <c r="G361" s="15" t="s">
        <v>1122</v>
      </c>
      <c r="H361" s="15" t="s">
        <v>1123</v>
      </c>
      <c r="I361" s="11" t="n">
        <v>3</v>
      </c>
      <c r="J361" s="11" t="s">
        <v>963</v>
      </c>
      <c r="K361" s="15" t="s">
        <v>1121</v>
      </c>
      <c r="L361" s="68" t="s">
        <v>964</v>
      </c>
      <c r="M361" s="15" t="s">
        <v>1124</v>
      </c>
      <c r="N361" s="68" t="s">
        <v>1125</v>
      </c>
      <c r="O361" s="69" t="str">
        <f aca="false">IF(AND(LEN(TRIM($B361&amp;""))&gt;0,ISNUMBER($C361),$C361&gt;0,ISNUMBER($D361),$D361&gt;0,ISNUMBER($E361),$E361&gt;0,ABS($E361-$C361*$D361)&lt;=MAX(1,0.005*ABS($E361)),LEN(TRIM($M361&amp;""))&gt;0,TRIM($M361&amp;"")&lt;&gt;"—",LEN(TRIM($P361&amp;""))=0),"PASS","FAIL — "&amp;IF(LEN(TRIM($P361&amp;""))&gt;0,TRIM($P361&amp;""),"line ≠ qty×unit, a required cell empty, or qty/£ non-positive"))</f>
        <v>PASS</v>
      </c>
      <c r="P361" s="70"/>
      <c r="Q361" s="16" t="str">
        <f aca="false">IF(AND(LEN(TRIM(A361&amp;""))&gt;0,TRIM(A361&amp;"")&lt;&gt;"—",LEN(TRIM(B361&amp;""))&gt;0,TRIM(B361&amp;"")&lt;&gt;"—",LEN(TRIM(C361&amp;""))&gt;0,TRIM(C361&amp;"")&lt;&gt;"—",ISNUMBER(C361),LEN(TRIM(D361&amp;""))&gt;0,TRIM(D361&amp;"")&lt;&gt;"—",ISNUMBER(D361),LEN(TRIM(E361&amp;""))&gt;0,TRIM(E361&amp;"")&lt;&gt;"—",ISNUMBER(E361),LEN(TRIM(F361&amp;""))&gt;0,TRIM(F361&amp;"")&lt;&gt;"—",LEN(TRIM(I361&amp;""))&gt;0,TRIM(I361&amp;"")&lt;&gt;"—",LEN(TRIM(J361&amp;""))&gt;0,TRIM(J361&amp;"")&lt;&gt;"—",LEN(TRIM(O361&amp;""))&gt;0,TRIM(O361&amp;"")&lt;&gt;"—"),"PASS","⚠ FAIL — "&amp;"a required cell is empty/placeholder or wrong type")</f>
        <v>PASS</v>
      </c>
    </row>
    <row r="362" customFormat="false" ht="43.25" hidden="false" customHeight="false" outlineLevel="0" collapsed="false">
      <c r="A362" s="11" t="s">
        <v>1126</v>
      </c>
      <c r="B362" s="68" t="s">
        <v>1127</v>
      </c>
      <c r="C362" s="28" t="n">
        <v>1</v>
      </c>
      <c r="D362" s="36" t="n">
        <v>678</v>
      </c>
      <c r="E362" s="36" t="n">
        <v>678</v>
      </c>
      <c r="F362" s="11" t="s">
        <v>969</v>
      </c>
      <c r="G362" s="15" t="s">
        <v>1128</v>
      </c>
      <c r="H362" s="15" t="s">
        <v>1129</v>
      </c>
      <c r="I362" s="11" t="n">
        <v>3</v>
      </c>
      <c r="J362" s="11" t="s">
        <v>963</v>
      </c>
      <c r="K362" s="15" t="s">
        <v>1127</v>
      </c>
      <c r="L362" s="68" t="s">
        <v>964</v>
      </c>
      <c r="M362" s="15" t="s">
        <v>1130</v>
      </c>
      <c r="N362" s="68" t="s">
        <v>1131</v>
      </c>
      <c r="O362" s="69" t="str">
        <f aca="false">IF(AND(LEN(TRIM($B362&amp;""))&gt;0,ISNUMBER($C362),$C362&gt;0,ISNUMBER($D362),$D362&gt;0,ISNUMBER($E362),$E362&gt;0,ABS($E362-$C362*$D362)&lt;=MAX(1,0.005*ABS($E362)),LEN(TRIM($M362&amp;""))&gt;0,TRIM($M362&amp;"")&lt;&gt;"—",LEN(TRIM($P362&amp;""))=0),"PASS","FAIL — "&amp;IF(LEN(TRIM($P362&amp;""))&gt;0,TRIM($P362&amp;""),"line ≠ qty×unit, a required cell empty, or qty/£ non-positive"))</f>
        <v>PASS</v>
      </c>
      <c r="P362" s="70"/>
      <c r="Q362" s="16" t="str">
        <f aca="false">IF(AND(LEN(TRIM(A362&amp;""))&gt;0,TRIM(A362&amp;"")&lt;&gt;"—",LEN(TRIM(B362&amp;""))&gt;0,TRIM(B362&amp;"")&lt;&gt;"—",LEN(TRIM(C362&amp;""))&gt;0,TRIM(C362&amp;"")&lt;&gt;"—",ISNUMBER(C362),LEN(TRIM(D362&amp;""))&gt;0,TRIM(D362&amp;"")&lt;&gt;"—",ISNUMBER(D362),LEN(TRIM(E362&amp;""))&gt;0,TRIM(E362&amp;"")&lt;&gt;"—",ISNUMBER(E362),LEN(TRIM(F362&amp;""))&gt;0,TRIM(F362&amp;"")&lt;&gt;"—",LEN(TRIM(I362&amp;""))&gt;0,TRIM(I362&amp;"")&lt;&gt;"—",LEN(TRIM(J362&amp;""))&gt;0,TRIM(J362&amp;"")&lt;&gt;"—",LEN(TRIM(O362&amp;""))&gt;0,TRIM(O362&amp;"")&lt;&gt;"—"),"PASS","⚠ FAIL — "&amp;"a required cell is empty/placeholder or wrong type")</f>
        <v>PASS</v>
      </c>
    </row>
    <row r="363" customFormat="false" ht="43.25" hidden="false" customHeight="false" outlineLevel="0" collapsed="false">
      <c r="A363" s="11" t="s">
        <v>1132</v>
      </c>
      <c r="B363" s="68" t="s">
        <v>1133</v>
      </c>
      <c r="C363" s="28" t="n">
        <v>1</v>
      </c>
      <c r="D363" s="36" t="n">
        <v>1059</v>
      </c>
      <c r="E363" s="36" t="n">
        <v>1059</v>
      </c>
      <c r="F363" s="11" t="s">
        <v>969</v>
      </c>
      <c r="G363" s="15" t="s">
        <v>1134</v>
      </c>
      <c r="H363" s="15" t="s">
        <v>1135</v>
      </c>
      <c r="I363" s="11" t="n">
        <v>3</v>
      </c>
      <c r="J363" s="11" t="s">
        <v>963</v>
      </c>
      <c r="K363" s="15" t="s">
        <v>1133</v>
      </c>
      <c r="L363" s="68" t="s">
        <v>964</v>
      </c>
      <c r="M363" s="15" t="s">
        <v>1136</v>
      </c>
      <c r="N363" s="68" t="s">
        <v>1137</v>
      </c>
      <c r="O363" s="69" t="str">
        <f aca="false">IF(AND(LEN(TRIM($B363&amp;""))&gt;0,ISNUMBER($C363),$C363&gt;0,ISNUMBER($D363),$D363&gt;0,ISNUMBER($E363),$E363&gt;0,ABS($E363-$C363*$D363)&lt;=MAX(1,0.005*ABS($E363)),LEN(TRIM($M363&amp;""))&gt;0,TRIM($M363&amp;"")&lt;&gt;"—",LEN(TRIM($P363&amp;""))=0),"PASS","FAIL — "&amp;IF(LEN(TRIM($P363&amp;""))&gt;0,TRIM($P363&amp;""),"line ≠ qty×unit, a required cell empty, or qty/£ non-positive"))</f>
        <v>PASS</v>
      </c>
      <c r="P363" s="70"/>
      <c r="Q363" s="16" t="str">
        <f aca="false">IF(AND(LEN(TRIM(A363&amp;""))&gt;0,TRIM(A363&amp;"")&lt;&gt;"—",LEN(TRIM(B363&amp;""))&gt;0,TRIM(B363&amp;"")&lt;&gt;"—",LEN(TRIM(C363&amp;""))&gt;0,TRIM(C363&amp;"")&lt;&gt;"—",ISNUMBER(C363),LEN(TRIM(D363&amp;""))&gt;0,TRIM(D363&amp;"")&lt;&gt;"—",ISNUMBER(D363),LEN(TRIM(E363&amp;""))&gt;0,TRIM(E363&amp;"")&lt;&gt;"—",ISNUMBER(E363),LEN(TRIM(F363&amp;""))&gt;0,TRIM(F363&amp;"")&lt;&gt;"—",LEN(TRIM(I363&amp;""))&gt;0,TRIM(I363&amp;"")&lt;&gt;"—",LEN(TRIM(J363&amp;""))&gt;0,TRIM(J363&amp;"")&lt;&gt;"—",LEN(TRIM(O363&amp;""))&gt;0,TRIM(O363&amp;"")&lt;&gt;"—"),"PASS","⚠ FAIL — "&amp;"a required cell is empty/placeholder or wrong type")</f>
        <v>PASS</v>
      </c>
    </row>
    <row r="364" customFormat="false" ht="43.25" hidden="false" customHeight="false" outlineLevel="0" collapsed="false">
      <c r="A364" s="11" t="s">
        <v>1138</v>
      </c>
      <c r="B364" s="68" t="s">
        <v>1139</v>
      </c>
      <c r="C364" s="28" t="n">
        <v>1</v>
      </c>
      <c r="D364" s="36" t="n">
        <v>318</v>
      </c>
      <c r="E364" s="36" t="n">
        <v>318</v>
      </c>
      <c r="F364" s="11" t="s">
        <v>969</v>
      </c>
      <c r="G364" s="15" t="s">
        <v>1140</v>
      </c>
      <c r="H364" s="15" t="s">
        <v>1141</v>
      </c>
      <c r="I364" s="11" t="n">
        <v>3</v>
      </c>
      <c r="J364" s="11" t="s">
        <v>963</v>
      </c>
      <c r="K364" s="15" t="s">
        <v>1139</v>
      </c>
      <c r="L364" s="68" t="s">
        <v>964</v>
      </c>
      <c r="M364" s="15" t="s">
        <v>1142</v>
      </c>
      <c r="N364" s="68" t="s">
        <v>1143</v>
      </c>
      <c r="O364" s="69" t="str">
        <f aca="false">IF(AND(LEN(TRIM($B364&amp;""))&gt;0,ISNUMBER($C364),$C364&gt;0,ISNUMBER($D364),$D364&gt;0,ISNUMBER($E364),$E364&gt;0,ABS($E364-$C364*$D364)&lt;=MAX(1,0.005*ABS($E364)),LEN(TRIM($M364&amp;""))&gt;0,TRIM($M364&amp;"")&lt;&gt;"—",LEN(TRIM($P364&amp;""))=0),"PASS","FAIL — "&amp;IF(LEN(TRIM($P364&amp;""))&gt;0,TRIM($P364&amp;""),"line ≠ qty×unit, a required cell empty, or qty/£ non-positive"))</f>
        <v>PASS</v>
      </c>
      <c r="P364" s="70"/>
      <c r="Q364" s="16" t="str">
        <f aca="false">IF(AND(LEN(TRIM(A364&amp;""))&gt;0,TRIM(A364&amp;"")&lt;&gt;"—",LEN(TRIM(B364&amp;""))&gt;0,TRIM(B364&amp;"")&lt;&gt;"—",LEN(TRIM(C364&amp;""))&gt;0,TRIM(C364&amp;"")&lt;&gt;"—",ISNUMBER(C364),LEN(TRIM(D364&amp;""))&gt;0,TRIM(D364&amp;"")&lt;&gt;"—",ISNUMBER(D364),LEN(TRIM(E364&amp;""))&gt;0,TRIM(E364&amp;"")&lt;&gt;"—",ISNUMBER(E364),LEN(TRIM(F364&amp;""))&gt;0,TRIM(F364&amp;"")&lt;&gt;"—",LEN(TRIM(I364&amp;""))&gt;0,TRIM(I364&amp;"")&lt;&gt;"—",LEN(TRIM(J364&amp;""))&gt;0,TRIM(J364&amp;"")&lt;&gt;"—",LEN(TRIM(O364&amp;""))&gt;0,TRIM(O364&amp;"")&lt;&gt;"—"),"PASS","⚠ FAIL — "&amp;"a required cell is empty/placeholder or wrong type")</f>
        <v>PASS</v>
      </c>
    </row>
    <row r="365" customFormat="false" ht="64.15" hidden="false" customHeight="false" outlineLevel="0" collapsed="false">
      <c r="A365" s="11" t="s">
        <v>1144</v>
      </c>
      <c r="B365" s="68" t="s">
        <v>1145</v>
      </c>
      <c r="C365" s="28" t="n">
        <v>1</v>
      </c>
      <c r="D365" s="36" t="n">
        <v>1069</v>
      </c>
      <c r="E365" s="36" t="n">
        <v>1069</v>
      </c>
      <c r="F365" s="11" t="s">
        <v>969</v>
      </c>
      <c r="G365" s="15" t="s">
        <v>1146</v>
      </c>
      <c r="H365" s="15" t="s">
        <v>1147</v>
      </c>
      <c r="I365" s="11" t="n">
        <v>3</v>
      </c>
      <c r="J365" s="11" t="s">
        <v>963</v>
      </c>
      <c r="K365" s="15" t="s">
        <v>1145</v>
      </c>
      <c r="L365" s="68" t="s">
        <v>964</v>
      </c>
      <c r="M365" s="15" t="s">
        <v>1148</v>
      </c>
      <c r="N365" s="68" t="s">
        <v>1149</v>
      </c>
      <c r="O365" s="69" t="str">
        <f aca="false">IF(AND(LEN(TRIM($B365&amp;""))&gt;0,ISNUMBER($C365),$C365&gt;0,ISNUMBER($D365),$D365&gt;0,ISNUMBER($E365),$E365&gt;0,ABS($E365-$C365*$D365)&lt;=MAX(1,0.005*ABS($E365)),LEN(TRIM($M365&amp;""))&gt;0,TRIM($M365&amp;"")&lt;&gt;"—",LEN(TRIM($P365&amp;""))=0),"PASS","FAIL — "&amp;IF(LEN(TRIM($P365&amp;""))&gt;0,TRIM($P365&amp;""),"line ≠ qty×unit, a required cell empty, or qty/£ non-positive"))</f>
        <v>PASS</v>
      </c>
      <c r="P365" s="70"/>
      <c r="Q365" s="16" t="str">
        <f aca="false">IF(AND(LEN(TRIM(A365&amp;""))&gt;0,TRIM(A365&amp;"")&lt;&gt;"—",LEN(TRIM(B365&amp;""))&gt;0,TRIM(B365&amp;"")&lt;&gt;"—",LEN(TRIM(C365&amp;""))&gt;0,TRIM(C365&amp;"")&lt;&gt;"—",ISNUMBER(C365),LEN(TRIM(D365&amp;""))&gt;0,TRIM(D365&amp;"")&lt;&gt;"—",ISNUMBER(D365),LEN(TRIM(E365&amp;""))&gt;0,TRIM(E365&amp;"")&lt;&gt;"—",ISNUMBER(E365),LEN(TRIM(F365&amp;""))&gt;0,TRIM(F365&amp;"")&lt;&gt;"—",LEN(TRIM(I365&amp;""))&gt;0,TRIM(I365&amp;"")&lt;&gt;"—",LEN(TRIM(J365&amp;""))&gt;0,TRIM(J365&amp;"")&lt;&gt;"—",LEN(TRIM(O365&amp;""))&gt;0,TRIM(O365&amp;"")&lt;&gt;"—"),"PASS","⚠ FAIL — "&amp;"a required cell is empty/placeholder or wrong type")</f>
        <v>PASS</v>
      </c>
    </row>
    <row r="366" customFormat="false" ht="43.25" hidden="false" customHeight="false" outlineLevel="0" collapsed="false">
      <c r="A366" s="11" t="s">
        <v>1150</v>
      </c>
      <c r="B366" s="68" t="s">
        <v>1151</v>
      </c>
      <c r="C366" s="28" t="n">
        <v>1</v>
      </c>
      <c r="D366" s="36" t="n">
        <v>1158</v>
      </c>
      <c r="E366" s="36" t="n">
        <v>1158</v>
      </c>
      <c r="F366" s="11" t="s">
        <v>969</v>
      </c>
      <c r="G366" s="15" t="s">
        <v>1152</v>
      </c>
      <c r="H366" s="15" t="s">
        <v>1153</v>
      </c>
      <c r="I366" s="11" t="n">
        <v>3</v>
      </c>
      <c r="J366" s="11" t="s">
        <v>963</v>
      </c>
      <c r="K366" s="15" t="s">
        <v>1151</v>
      </c>
      <c r="L366" s="68" t="s">
        <v>964</v>
      </c>
      <c r="M366" s="15" t="s">
        <v>1154</v>
      </c>
      <c r="N366" s="68" t="s">
        <v>1155</v>
      </c>
      <c r="O366" s="69" t="str">
        <f aca="false">IF(AND(LEN(TRIM($B366&amp;""))&gt;0,ISNUMBER($C366),$C366&gt;0,ISNUMBER($D366),$D366&gt;0,ISNUMBER($E366),$E366&gt;0,ABS($E366-$C366*$D366)&lt;=MAX(1,0.005*ABS($E366)),LEN(TRIM($M366&amp;""))&gt;0,TRIM($M366&amp;"")&lt;&gt;"—",LEN(TRIM($P366&amp;""))=0),"PASS","FAIL — "&amp;IF(LEN(TRIM($P366&amp;""))&gt;0,TRIM($P366&amp;""),"line ≠ qty×unit, a required cell empty, or qty/£ non-positive"))</f>
        <v>PASS</v>
      </c>
      <c r="P366" s="70"/>
      <c r="Q366" s="16" t="str">
        <f aca="false">IF(AND(LEN(TRIM(A366&amp;""))&gt;0,TRIM(A366&amp;"")&lt;&gt;"—",LEN(TRIM(B366&amp;""))&gt;0,TRIM(B366&amp;"")&lt;&gt;"—",LEN(TRIM(C366&amp;""))&gt;0,TRIM(C366&amp;"")&lt;&gt;"—",ISNUMBER(C366),LEN(TRIM(D366&amp;""))&gt;0,TRIM(D366&amp;"")&lt;&gt;"—",ISNUMBER(D366),LEN(TRIM(E366&amp;""))&gt;0,TRIM(E366&amp;"")&lt;&gt;"—",ISNUMBER(E366),LEN(TRIM(F366&amp;""))&gt;0,TRIM(F366&amp;"")&lt;&gt;"—",LEN(TRIM(I366&amp;""))&gt;0,TRIM(I366&amp;"")&lt;&gt;"—",LEN(TRIM(J366&amp;""))&gt;0,TRIM(J366&amp;"")&lt;&gt;"—",LEN(TRIM(O366&amp;""))&gt;0,TRIM(O366&amp;"")&lt;&gt;"—"),"PASS","⚠ FAIL — "&amp;"a required cell is empty/placeholder or wrong type")</f>
        <v>PASS</v>
      </c>
    </row>
    <row r="367" customFormat="false" ht="43.25" hidden="false" customHeight="false" outlineLevel="0" collapsed="false">
      <c r="A367" s="11" t="s">
        <v>1156</v>
      </c>
      <c r="B367" s="68" t="s">
        <v>1157</v>
      </c>
      <c r="C367" s="28" t="n">
        <v>1</v>
      </c>
      <c r="D367" s="36" t="n">
        <v>1493</v>
      </c>
      <c r="E367" s="36" t="n">
        <v>1493</v>
      </c>
      <c r="F367" s="11" t="s">
        <v>969</v>
      </c>
      <c r="G367" s="15" t="s">
        <v>1158</v>
      </c>
      <c r="H367" s="15" t="s">
        <v>1159</v>
      </c>
      <c r="I367" s="11" t="n">
        <v>3</v>
      </c>
      <c r="J367" s="11" t="s">
        <v>963</v>
      </c>
      <c r="K367" s="15" t="s">
        <v>1157</v>
      </c>
      <c r="L367" s="68" t="s">
        <v>964</v>
      </c>
      <c r="M367" s="15" t="s">
        <v>1160</v>
      </c>
      <c r="N367" s="68" t="s">
        <v>1161</v>
      </c>
      <c r="O367" s="69" t="str">
        <f aca="false">IF(AND(LEN(TRIM($B367&amp;""))&gt;0,ISNUMBER($C367),$C367&gt;0,ISNUMBER($D367),$D367&gt;0,ISNUMBER($E367),$E367&gt;0,ABS($E367-$C367*$D367)&lt;=MAX(1,0.005*ABS($E367)),LEN(TRIM($M367&amp;""))&gt;0,TRIM($M367&amp;"")&lt;&gt;"—",LEN(TRIM($P367&amp;""))=0),"PASS","FAIL — "&amp;IF(LEN(TRIM($P367&amp;""))&gt;0,TRIM($P367&amp;""),"line ≠ qty×unit, a required cell empty, or qty/£ non-positive"))</f>
        <v>PASS</v>
      </c>
      <c r="P367" s="70"/>
      <c r="Q367" s="16" t="str">
        <f aca="false">IF(AND(LEN(TRIM(A367&amp;""))&gt;0,TRIM(A367&amp;"")&lt;&gt;"—",LEN(TRIM(B367&amp;""))&gt;0,TRIM(B367&amp;"")&lt;&gt;"—",LEN(TRIM(C367&amp;""))&gt;0,TRIM(C367&amp;"")&lt;&gt;"—",ISNUMBER(C367),LEN(TRIM(D367&amp;""))&gt;0,TRIM(D367&amp;"")&lt;&gt;"—",ISNUMBER(D367),LEN(TRIM(E367&amp;""))&gt;0,TRIM(E367&amp;"")&lt;&gt;"—",ISNUMBER(E367),LEN(TRIM(F367&amp;""))&gt;0,TRIM(F367&amp;"")&lt;&gt;"—",LEN(TRIM(I367&amp;""))&gt;0,TRIM(I367&amp;"")&lt;&gt;"—",LEN(TRIM(J367&amp;""))&gt;0,TRIM(J367&amp;"")&lt;&gt;"—",LEN(TRIM(O367&amp;""))&gt;0,TRIM(O367&amp;"")&lt;&gt;"—"),"PASS","⚠ FAIL — "&amp;"a required cell is empty/placeholder or wrong type")</f>
        <v>PASS</v>
      </c>
    </row>
    <row r="368" customFormat="false" ht="43.25" hidden="false" customHeight="false" outlineLevel="0" collapsed="false">
      <c r="A368" s="11" t="s">
        <v>1162</v>
      </c>
      <c r="B368" s="68" t="s">
        <v>1163</v>
      </c>
      <c r="C368" s="28" t="n">
        <v>1</v>
      </c>
      <c r="D368" s="36" t="n">
        <v>897</v>
      </c>
      <c r="E368" s="36" t="n">
        <v>897</v>
      </c>
      <c r="F368" s="11" t="s">
        <v>969</v>
      </c>
      <c r="G368" s="15" t="s">
        <v>1164</v>
      </c>
      <c r="H368" s="15" t="s">
        <v>1165</v>
      </c>
      <c r="I368" s="11" t="n">
        <v>3</v>
      </c>
      <c r="J368" s="11" t="s">
        <v>963</v>
      </c>
      <c r="K368" s="15" t="s">
        <v>1163</v>
      </c>
      <c r="L368" s="68" t="s">
        <v>964</v>
      </c>
      <c r="M368" s="15" t="s">
        <v>1166</v>
      </c>
      <c r="N368" s="68" t="s">
        <v>1167</v>
      </c>
      <c r="O368" s="69" t="str">
        <f aca="false">IF(AND(LEN(TRIM($B368&amp;""))&gt;0,ISNUMBER($C368),$C368&gt;0,ISNUMBER($D368),$D368&gt;0,ISNUMBER($E368),$E368&gt;0,ABS($E368-$C368*$D368)&lt;=MAX(1,0.005*ABS($E368)),LEN(TRIM($M368&amp;""))&gt;0,TRIM($M368&amp;"")&lt;&gt;"—",LEN(TRIM($P368&amp;""))=0),"PASS","FAIL — "&amp;IF(LEN(TRIM($P368&amp;""))&gt;0,TRIM($P368&amp;""),"line ≠ qty×unit, a required cell empty, or qty/£ non-positive"))</f>
        <v>PASS</v>
      </c>
      <c r="P368" s="70"/>
      <c r="Q368" s="16" t="str">
        <f aca="false">IF(AND(LEN(TRIM(A368&amp;""))&gt;0,TRIM(A368&amp;"")&lt;&gt;"—",LEN(TRIM(B368&amp;""))&gt;0,TRIM(B368&amp;"")&lt;&gt;"—",LEN(TRIM(C368&amp;""))&gt;0,TRIM(C368&amp;"")&lt;&gt;"—",ISNUMBER(C368),LEN(TRIM(D368&amp;""))&gt;0,TRIM(D368&amp;"")&lt;&gt;"—",ISNUMBER(D368),LEN(TRIM(E368&amp;""))&gt;0,TRIM(E368&amp;"")&lt;&gt;"—",ISNUMBER(E368),LEN(TRIM(F368&amp;""))&gt;0,TRIM(F368&amp;"")&lt;&gt;"—",LEN(TRIM(I368&amp;""))&gt;0,TRIM(I368&amp;"")&lt;&gt;"—",LEN(TRIM(J368&amp;""))&gt;0,TRIM(J368&amp;"")&lt;&gt;"—",LEN(TRIM(O368&amp;""))&gt;0,TRIM(O368&amp;"")&lt;&gt;"—"),"PASS","⚠ FAIL — "&amp;"a required cell is empty/placeholder or wrong type")</f>
        <v>PASS</v>
      </c>
    </row>
    <row r="369" customFormat="false" ht="43.25" hidden="false" customHeight="false" outlineLevel="0" collapsed="false">
      <c r="A369" s="11" t="s">
        <v>1168</v>
      </c>
      <c r="B369" s="68" t="s">
        <v>1169</v>
      </c>
      <c r="C369" s="28" t="n">
        <v>1</v>
      </c>
      <c r="D369" s="36" t="n">
        <v>1004</v>
      </c>
      <c r="E369" s="36" t="n">
        <v>1004</v>
      </c>
      <c r="F369" s="11" t="s">
        <v>1170</v>
      </c>
      <c r="G369" s="15" t="s">
        <v>1171</v>
      </c>
      <c r="H369" s="15" t="s">
        <v>1172</v>
      </c>
      <c r="I369" s="11" t="n">
        <v>3</v>
      </c>
      <c r="J369" s="11" t="s">
        <v>963</v>
      </c>
      <c r="K369" s="15" t="s">
        <v>1169</v>
      </c>
      <c r="L369" s="68" t="s">
        <v>964</v>
      </c>
      <c r="M369" s="15" t="s">
        <v>1173</v>
      </c>
      <c r="N369" s="68" t="s">
        <v>1174</v>
      </c>
      <c r="O369" s="69" t="str">
        <f aca="false">IF(AND(LEN(TRIM($B369&amp;""))&gt;0,ISNUMBER($C369),$C369&gt;0,ISNUMBER($D369),$D369&gt;0,ISNUMBER($E369),$E369&gt;0,ABS($E369-$C369*$D369)&lt;=MAX(1,0.005*ABS($E369)),LEN(TRIM($M369&amp;""))&gt;0,TRIM($M369&amp;"")&lt;&gt;"—",LEN(TRIM($P369&amp;""))=0),"PASS","FAIL — "&amp;IF(LEN(TRIM($P369&amp;""))&gt;0,TRIM($P369&amp;""),"line ≠ qty×unit, a required cell empty, or qty/£ non-positive"))</f>
        <v>PASS</v>
      </c>
      <c r="P369" s="70"/>
      <c r="Q369" s="16" t="str">
        <f aca="false">IF(AND(LEN(TRIM(A369&amp;""))&gt;0,TRIM(A369&amp;"")&lt;&gt;"—",LEN(TRIM(B369&amp;""))&gt;0,TRIM(B369&amp;"")&lt;&gt;"—",LEN(TRIM(C369&amp;""))&gt;0,TRIM(C369&amp;"")&lt;&gt;"—",ISNUMBER(C369),LEN(TRIM(D369&amp;""))&gt;0,TRIM(D369&amp;"")&lt;&gt;"—",ISNUMBER(D369),LEN(TRIM(E369&amp;""))&gt;0,TRIM(E369&amp;"")&lt;&gt;"—",ISNUMBER(E369),LEN(TRIM(F369&amp;""))&gt;0,TRIM(F369&amp;"")&lt;&gt;"—",LEN(TRIM(I369&amp;""))&gt;0,TRIM(I369&amp;"")&lt;&gt;"—",LEN(TRIM(J369&amp;""))&gt;0,TRIM(J369&amp;"")&lt;&gt;"—",LEN(TRIM(O369&amp;""))&gt;0,TRIM(O369&amp;"")&lt;&gt;"—"),"PASS","⚠ FAIL — "&amp;"a required cell is empty/placeholder or wrong type")</f>
        <v>PASS</v>
      </c>
    </row>
    <row r="370" customFormat="false" ht="43.25" hidden="false" customHeight="false" outlineLevel="0" collapsed="false">
      <c r="A370" s="11" t="s">
        <v>1175</v>
      </c>
      <c r="B370" s="68" t="s">
        <v>1176</v>
      </c>
      <c r="C370" s="28" t="n">
        <v>1</v>
      </c>
      <c r="D370" s="36" t="n">
        <v>875</v>
      </c>
      <c r="E370" s="36" t="n">
        <v>875</v>
      </c>
      <c r="F370" s="11" t="s">
        <v>969</v>
      </c>
      <c r="G370" s="15" t="s">
        <v>1177</v>
      </c>
      <c r="H370" s="15" t="s">
        <v>1178</v>
      </c>
      <c r="I370" s="11" t="n">
        <v>3</v>
      </c>
      <c r="J370" s="11" t="s">
        <v>963</v>
      </c>
      <c r="K370" s="15" t="s">
        <v>1176</v>
      </c>
      <c r="L370" s="68" t="s">
        <v>964</v>
      </c>
      <c r="M370" s="15" t="s">
        <v>1179</v>
      </c>
      <c r="N370" s="68" t="s">
        <v>1180</v>
      </c>
      <c r="O370" s="69" t="str">
        <f aca="false">IF(AND(LEN(TRIM($B370&amp;""))&gt;0,ISNUMBER($C370),$C370&gt;0,ISNUMBER($D370),$D370&gt;0,ISNUMBER($E370),$E370&gt;0,ABS($E370-$C370*$D370)&lt;=MAX(1,0.005*ABS($E370)),LEN(TRIM($M370&amp;""))&gt;0,TRIM($M370&amp;"")&lt;&gt;"—",LEN(TRIM($P370&amp;""))=0),"PASS","FAIL — "&amp;IF(LEN(TRIM($P370&amp;""))&gt;0,TRIM($P370&amp;""),"line ≠ qty×unit, a required cell empty, or qty/£ non-positive"))</f>
        <v>PASS</v>
      </c>
      <c r="P370" s="70"/>
      <c r="Q370" s="16" t="str">
        <f aca="false">IF(AND(LEN(TRIM(A370&amp;""))&gt;0,TRIM(A370&amp;"")&lt;&gt;"—",LEN(TRIM(B370&amp;""))&gt;0,TRIM(B370&amp;"")&lt;&gt;"—",LEN(TRIM(C370&amp;""))&gt;0,TRIM(C370&amp;"")&lt;&gt;"—",ISNUMBER(C370),LEN(TRIM(D370&amp;""))&gt;0,TRIM(D370&amp;"")&lt;&gt;"—",ISNUMBER(D370),LEN(TRIM(E370&amp;""))&gt;0,TRIM(E370&amp;"")&lt;&gt;"—",ISNUMBER(E370),LEN(TRIM(F370&amp;""))&gt;0,TRIM(F370&amp;"")&lt;&gt;"—",LEN(TRIM(I370&amp;""))&gt;0,TRIM(I370&amp;"")&lt;&gt;"—",LEN(TRIM(J370&amp;""))&gt;0,TRIM(J370&amp;"")&lt;&gt;"—",LEN(TRIM(O370&amp;""))&gt;0,TRIM(O370&amp;"")&lt;&gt;"—"),"PASS","⚠ FAIL — "&amp;"a required cell is empty/placeholder or wrong type")</f>
        <v>PASS</v>
      </c>
    </row>
    <row r="371" customFormat="false" ht="64.15" hidden="false" customHeight="false" outlineLevel="0" collapsed="false">
      <c r="A371" s="11" t="s">
        <v>1181</v>
      </c>
      <c r="B371" s="68" t="s">
        <v>1182</v>
      </c>
      <c r="C371" s="28" t="n">
        <v>1</v>
      </c>
      <c r="D371" s="36" t="n">
        <v>625</v>
      </c>
      <c r="E371" s="36" t="n">
        <v>625</v>
      </c>
      <c r="F371" s="11" t="s">
        <v>960</v>
      </c>
      <c r="G371" s="15" t="s">
        <v>1183</v>
      </c>
      <c r="H371" s="15" t="s">
        <v>1184</v>
      </c>
      <c r="I371" s="11" t="n">
        <v>3</v>
      </c>
      <c r="J371" s="11" t="s">
        <v>963</v>
      </c>
      <c r="K371" s="15" t="s">
        <v>1182</v>
      </c>
      <c r="L371" s="68" t="s">
        <v>964</v>
      </c>
      <c r="M371" s="15" t="s">
        <v>1185</v>
      </c>
      <c r="N371" s="68" t="s">
        <v>1186</v>
      </c>
      <c r="O371" s="69" t="str">
        <f aca="false">IF(AND(LEN(TRIM($B371&amp;""))&gt;0,ISNUMBER($C371),$C371&gt;0,ISNUMBER($D371),$D371&gt;0,ISNUMBER($E371),$E371&gt;0,ABS($E371-$C371*$D371)&lt;=MAX(1,0.005*ABS($E371)),LEN(TRIM($M371&amp;""))&gt;0,TRIM($M371&amp;"")&lt;&gt;"—",LEN(TRIM($P371&amp;""))=0),"PASS","FAIL — "&amp;IF(LEN(TRIM($P371&amp;""))&gt;0,TRIM($P371&amp;""),"line ≠ qty×unit, a required cell empty, or qty/£ non-positive"))</f>
        <v>PASS</v>
      </c>
      <c r="P371" s="70"/>
      <c r="Q371" s="16" t="str">
        <f aca="false">IF(AND(LEN(TRIM(A371&amp;""))&gt;0,TRIM(A371&amp;"")&lt;&gt;"—",LEN(TRIM(B371&amp;""))&gt;0,TRIM(B371&amp;"")&lt;&gt;"—",LEN(TRIM(C371&amp;""))&gt;0,TRIM(C371&amp;"")&lt;&gt;"—",ISNUMBER(C371),LEN(TRIM(D371&amp;""))&gt;0,TRIM(D371&amp;"")&lt;&gt;"—",ISNUMBER(D371),LEN(TRIM(E371&amp;""))&gt;0,TRIM(E371&amp;"")&lt;&gt;"—",ISNUMBER(E371),LEN(TRIM(F371&amp;""))&gt;0,TRIM(F371&amp;"")&lt;&gt;"—",LEN(TRIM(I371&amp;""))&gt;0,TRIM(I371&amp;"")&lt;&gt;"—",LEN(TRIM(J371&amp;""))&gt;0,TRIM(J371&amp;"")&lt;&gt;"—",LEN(TRIM(O371&amp;""))&gt;0,TRIM(O371&amp;"")&lt;&gt;"—"),"PASS","⚠ FAIL — "&amp;"a required cell is empty/placeholder or wrong type")</f>
        <v>PASS</v>
      </c>
    </row>
    <row r="372" customFormat="false" ht="43.25" hidden="false" customHeight="false" outlineLevel="0" collapsed="false">
      <c r="A372" s="11" t="s">
        <v>1187</v>
      </c>
      <c r="B372" s="68" t="s">
        <v>1188</v>
      </c>
      <c r="C372" s="28" t="n">
        <v>1</v>
      </c>
      <c r="D372" s="36" t="n">
        <v>1384</v>
      </c>
      <c r="E372" s="36" t="n">
        <v>1384</v>
      </c>
      <c r="F372" s="11" t="s">
        <v>969</v>
      </c>
      <c r="G372" s="15" t="s">
        <v>1189</v>
      </c>
      <c r="H372" s="15" t="s">
        <v>1190</v>
      </c>
      <c r="I372" s="11" t="n">
        <v>3</v>
      </c>
      <c r="J372" s="11" t="s">
        <v>963</v>
      </c>
      <c r="K372" s="15" t="s">
        <v>1188</v>
      </c>
      <c r="L372" s="68" t="s">
        <v>964</v>
      </c>
      <c r="M372" s="15" t="s">
        <v>1191</v>
      </c>
      <c r="N372" s="68" t="s">
        <v>1192</v>
      </c>
      <c r="O372" s="69" t="str">
        <f aca="false">IF(AND(LEN(TRIM($B372&amp;""))&gt;0,ISNUMBER($C372),$C372&gt;0,ISNUMBER($D372),$D372&gt;0,ISNUMBER($E372),$E372&gt;0,ABS($E372-$C372*$D372)&lt;=MAX(1,0.005*ABS($E372)),LEN(TRIM($M372&amp;""))&gt;0,TRIM($M372&amp;"")&lt;&gt;"—",LEN(TRIM($P372&amp;""))=0),"PASS","FAIL — "&amp;IF(LEN(TRIM($P372&amp;""))&gt;0,TRIM($P372&amp;""),"line ≠ qty×unit, a required cell empty, or qty/£ non-positive"))</f>
        <v>PASS</v>
      </c>
      <c r="P372" s="70"/>
      <c r="Q372" s="16" t="str">
        <f aca="false">IF(AND(LEN(TRIM(A372&amp;""))&gt;0,TRIM(A372&amp;"")&lt;&gt;"—",LEN(TRIM(B372&amp;""))&gt;0,TRIM(B372&amp;"")&lt;&gt;"—",LEN(TRIM(C372&amp;""))&gt;0,TRIM(C372&amp;"")&lt;&gt;"—",ISNUMBER(C372),LEN(TRIM(D372&amp;""))&gt;0,TRIM(D372&amp;"")&lt;&gt;"—",ISNUMBER(D372),LEN(TRIM(E372&amp;""))&gt;0,TRIM(E372&amp;"")&lt;&gt;"—",ISNUMBER(E372),LEN(TRIM(F372&amp;""))&gt;0,TRIM(F372&amp;"")&lt;&gt;"—",LEN(TRIM(I372&amp;""))&gt;0,TRIM(I372&amp;"")&lt;&gt;"—",LEN(TRIM(J372&amp;""))&gt;0,TRIM(J372&amp;"")&lt;&gt;"—",LEN(TRIM(O372&amp;""))&gt;0,TRIM(O372&amp;"")&lt;&gt;"—"),"PASS","⚠ FAIL — "&amp;"a required cell is empty/placeholder or wrong type")</f>
        <v>PASS</v>
      </c>
    </row>
    <row r="373" customFormat="false" ht="43.25" hidden="false" customHeight="false" outlineLevel="0" collapsed="false">
      <c r="A373" s="11" t="s">
        <v>1193</v>
      </c>
      <c r="B373" s="68" t="s">
        <v>1194</v>
      </c>
      <c r="C373" s="28" t="n">
        <v>1</v>
      </c>
      <c r="D373" s="36" t="n">
        <v>406</v>
      </c>
      <c r="E373" s="36" t="n">
        <v>406</v>
      </c>
      <c r="F373" s="11" t="s">
        <v>1195</v>
      </c>
      <c r="G373" s="15" t="s">
        <v>1196</v>
      </c>
      <c r="H373" s="15" t="s">
        <v>1197</v>
      </c>
      <c r="I373" s="11" t="n">
        <v>3</v>
      </c>
      <c r="J373" s="11" t="s">
        <v>963</v>
      </c>
      <c r="K373" s="15" t="s">
        <v>1194</v>
      </c>
      <c r="L373" s="68" t="s">
        <v>964</v>
      </c>
      <c r="M373" s="15" t="s">
        <v>1198</v>
      </c>
      <c r="N373" s="68" t="s">
        <v>1199</v>
      </c>
      <c r="O373" s="69" t="str">
        <f aca="false">IF(AND(LEN(TRIM($B373&amp;""))&gt;0,ISNUMBER($C373),$C373&gt;0,ISNUMBER($D373),$D373&gt;0,ISNUMBER($E373),$E373&gt;0,ABS($E373-$C373*$D373)&lt;=MAX(1,0.005*ABS($E373)),LEN(TRIM($M373&amp;""))&gt;0,TRIM($M373&amp;"")&lt;&gt;"—",LEN(TRIM($P373&amp;""))=0),"PASS","FAIL — "&amp;IF(LEN(TRIM($P373&amp;""))&gt;0,TRIM($P373&amp;""),"line ≠ qty×unit, a required cell empty, or qty/£ non-positive"))</f>
        <v>PASS</v>
      </c>
      <c r="P373" s="70"/>
      <c r="Q373" s="16" t="str">
        <f aca="false">IF(AND(LEN(TRIM(A373&amp;""))&gt;0,TRIM(A373&amp;"")&lt;&gt;"—",LEN(TRIM(B373&amp;""))&gt;0,TRIM(B373&amp;"")&lt;&gt;"—",LEN(TRIM(C373&amp;""))&gt;0,TRIM(C373&amp;"")&lt;&gt;"—",ISNUMBER(C373),LEN(TRIM(D373&amp;""))&gt;0,TRIM(D373&amp;"")&lt;&gt;"—",ISNUMBER(D373),LEN(TRIM(E373&amp;""))&gt;0,TRIM(E373&amp;"")&lt;&gt;"—",ISNUMBER(E373),LEN(TRIM(F373&amp;""))&gt;0,TRIM(F373&amp;"")&lt;&gt;"—",LEN(TRIM(I373&amp;""))&gt;0,TRIM(I373&amp;"")&lt;&gt;"—",LEN(TRIM(J373&amp;""))&gt;0,TRIM(J373&amp;"")&lt;&gt;"—",LEN(TRIM(O373&amp;""))&gt;0,TRIM(O373&amp;"")&lt;&gt;"—"),"PASS","⚠ FAIL — "&amp;"a required cell is empty/placeholder or wrong type")</f>
        <v>PASS</v>
      </c>
    </row>
    <row r="374" customFormat="false" ht="43.25" hidden="false" customHeight="false" outlineLevel="0" collapsed="false">
      <c r="A374" s="11" t="s">
        <v>1200</v>
      </c>
      <c r="B374" s="68" t="s">
        <v>1201</v>
      </c>
      <c r="C374" s="28" t="n">
        <v>1</v>
      </c>
      <c r="D374" s="36" t="n">
        <v>1296</v>
      </c>
      <c r="E374" s="36" t="n">
        <v>1296</v>
      </c>
      <c r="F374" s="11" t="s">
        <v>969</v>
      </c>
      <c r="G374" s="15" t="s">
        <v>1202</v>
      </c>
      <c r="H374" s="15" t="s">
        <v>1203</v>
      </c>
      <c r="I374" s="11" t="n">
        <v>3</v>
      </c>
      <c r="J374" s="11" t="s">
        <v>963</v>
      </c>
      <c r="K374" s="15" t="s">
        <v>1201</v>
      </c>
      <c r="L374" s="68" t="s">
        <v>964</v>
      </c>
      <c r="M374" s="15" t="s">
        <v>1204</v>
      </c>
      <c r="N374" s="68" t="s">
        <v>1205</v>
      </c>
      <c r="O374" s="69" t="str">
        <f aca="false">IF(AND(LEN(TRIM($B374&amp;""))&gt;0,ISNUMBER($C374),$C374&gt;0,ISNUMBER($D374),$D374&gt;0,ISNUMBER($E374),$E374&gt;0,ABS($E374-$C374*$D374)&lt;=MAX(1,0.005*ABS($E374)),LEN(TRIM($M374&amp;""))&gt;0,TRIM($M374&amp;"")&lt;&gt;"—",LEN(TRIM($P374&amp;""))=0),"PASS","FAIL — "&amp;IF(LEN(TRIM($P374&amp;""))&gt;0,TRIM($P374&amp;""),"line ≠ qty×unit, a required cell empty, or qty/£ non-positive"))</f>
        <v>PASS</v>
      </c>
      <c r="P374" s="70"/>
      <c r="Q374" s="16" t="str">
        <f aca="false">IF(AND(LEN(TRIM(A374&amp;""))&gt;0,TRIM(A374&amp;"")&lt;&gt;"—",LEN(TRIM(B374&amp;""))&gt;0,TRIM(B374&amp;"")&lt;&gt;"—",LEN(TRIM(C374&amp;""))&gt;0,TRIM(C374&amp;"")&lt;&gt;"—",ISNUMBER(C374),LEN(TRIM(D374&amp;""))&gt;0,TRIM(D374&amp;"")&lt;&gt;"—",ISNUMBER(D374),LEN(TRIM(E374&amp;""))&gt;0,TRIM(E374&amp;"")&lt;&gt;"—",ISNUMBER(E374),LEN(TRIM(F374&amp;""))&gt;0,TRIM(F374&amp;"")&lt;&gt;"—",LEN(TRIM(I374&amp;""))&gt;0,TRIM(I374&amp;"")&lt;&gt;"—",LEN(TRIM(J374&amp;""))&gt;0,TRIM(J374&amp;"")&lt;&gt;"—",LEN(TRIM(O374&amp;""))&gt;0,TRIM(O374&amp;"")&lt;&gt;"—"),"PASS","⚠ FAIL — "&amp;"a required cell is empty/placeholder or wrong type")</f>
        <v>PASS</v>
      </c>
    </row>
    <row r="375" customFormat="false" ht="43.25" hidden="false" customHeight="false" outlineLevel="0" collapsed="false">
      <c r="A375" s="11" t="s">
        <v>1206</v>
      </c>
      <c r="B375" s="68" t="s">
        <v>1207</v>
      </c>
      <c r="C375" s="28" t="n">
        <v>1</v>
      </c>
      <c r="D375" s="36" t="n">
        <v>43</v>
      </c>
      <c r="E375" s="36" t="n">
        <v>43</v>
      </c>
      <c r="F375" s="11" t="s">
        <v>1208</v>
      </c>
      <c r="G375" s="15" t="s">
        <v>1209</v>
      </c>
      <c r="H375" s="15" t="s">
        <v>1210</v>
      </c>
      <c r="I375" s="11" t="n">
        <v>3</v>
      </c>
      <c r="J375" s="11" t="s">
        <v>963</v>
      </c>
      <c r="K375" s="15" t="s">
        <v>1207</v>
      </c>
      <c r="L375" s="68" t="s">
        <v>1211</v>
      </c>
      <c r="M375" s="15" t="s">
        <v>1212</v>
      </c>
      <c r="N375" s="68" t="s">
        <v>1213</v>
      </c>
      <c r="O375" s="69" t="str">
        <f aca="false">IF(AND(LEN(TRIM($B375&amp;""))&gt;0,ISNUMBER($C375),$C375&gt;0,ISNUMBER($D375),$D375&gt;0,ISNUMBER($E375),$E375&gt;0,ABS($E375-$C375*$D375)&lt;=MAX(1,0.005*ABS($E375)),LEN(TRIM($M375&amp;""))&gt;0,TRIM($M375&amp;"")&lt;&gt;"—",LEN(TRIM($P375&amp;""))=0),"PASS","FAIL — "&amp;IF(LEN(TRIM($P375&amp;""))&gt;0,TRIM($P375&amp;""),"line ≠ qty×unit, a required cell empty, or qty/£ non-positive"))</f>
        <v>PASS</v>
      </c>
      <c r="P375" s="70"/>
      <c r="Q375" s="16" t="str">
        <f aca="false">IF(AND(LEN(TRIM(A375&amp;""))&gt;0,TRIM(A375&amp;"")&lt;&gt;"—",LEN(TRIM(B375&amp;""))&gt;0,TRIM(B375&amp;"")&lt;&gt;"—",LEN(TRIM(C375&amp;""))&gt;0,TRIM(C375&amp;"")&lt;&gt;"—",ISNUMBER(C375),LEN(TRIM(D375&amp;""))&gt;0,TRIM(D375&amp;"")&lt;&gt;"—",ISNUMBER(D375),LEN(TRIM(E375&amp;""))&gt;0,TRIM(E375&amp;"")&lt;&gt;"—",ISNUMBER(E375),LEN(TRIM(F375&amp;""))&gt;0,TRIM(F375&amp;"")&lt;&gt;"—",LEN(TRIM(I375&amp;""))&gt;0,TRIM(I375&amp;"")&lt;&gt;"—",LEN(TRIM(J375&amp;""))&gt;0,TRIM(J375&amp;"")&lt;&gt;"—",LEN(TRIM(O375&amp;""))&gt;0,TRIM(O375&amp;"")&lt;&gt;"—"),"PASS","⚠ FAIL — "&amp;"a required cell is empty/placeholder or wrong type")</f>
        <v>PASS</v>
      </c>
    </row>
    <row r="376" customFormat="false" ht="43.25" hidden="false" customHeight="false" outlineLevel="0" collapsed="false">
      <c r="A376" s="11" t="s">
        <v>1214</v>
      </c>
      <c r="B376" s="68" t="s">
        <v>1215</v>
      </c>
      <c r="C376" s="28" t="n">
        <v>1</v>
      </c>
      <c r="D376" s="36" t="n">
        <v>37</v>
      </c>
      <c r="E376" s="36" t="n">
        <v>37</v>
      </c>
      <c r="F376" s="11" t="s">
        <v>1208</v>
      </c>
      <c r="G376" s="15" t="s">
        <v>1209</v>
      </c>
      <c r="H376" s="15" t="s">
        <v>1210</v>
      </c>
      <c r="I376" s="11" t="n">
        <v>3</v>
      </c>
      <c r="J376" s="11" t="s">
        <v>963</v>
      </c>
      <c r="K376" s="15" t="s">
        <v>1215</v>
      </c>
      <c r="L376" s="68" t="s">
        <v>1211</v>
      </c>
      <c r="M376" s="15" t="s">
        <v>1212</v>
      </c>
      <c r="N376" s="68" t="s">
        <v>1216</v>
      </c>
      <c r="O376" s="69" t="str">
        <f aca="false">IF(AND(LEN(TRIM($B376&amp;""))&gt;0,ISNUMBER($C376),$C376&gt;0,ISNUMBER($D376),$D376&gt;0,ISNUMBER($E376),$E376&gt;0,ABS($E376-$C376*$D376)&lt;=MAX(1,0.005*ABS($E376)),LEN(TRIM($M376&amp;""))&gt;0,TRIM($M376&amp;"")&lt;&gt;"—",LEN(TRIM($P376&amp;""))=0),"PASS","FAIL — "&amp;IF(LEN(TRIM($P376&amp;""))&gt;0,TRIM($P376&amp;""),"line ≠ qty×unit, a required cell empty, or qty/£ non-positive"))</f>
        <v>PASS</v>
      </c>
      <c r="P376" s="70"/>
      <c r="Q376" s="16" t="str">
        <f aca="false">IF(AND(LEN(TRIM(A376&amp;""))&gt;0,TRIM(A376&amp;"")&lt;&gt;"—",LEN(TRIM(B376&amp;""))&gt;0,TRIM(B376&amp;"")&lt;&gt;"—",LEN(TRIM(C376&amp;""))&gt;0,TRIM(C376&amp;"")&lt;&gt;"—",ISNUMBER(C376),LEN(TRIM(D376&amp;""))&gt;0,TRIM(D376&amp;"")&lt;&gt;"—",ISNUMBER(D376),LEN(TRIM(E376&amp;""))&gt;0,TRIM(E376&amp;"")&lt;&gt;"—",ISNUMBER(E376),LEN(TRIM(F376&amp;""))&gt;0,TRIM(F376&amp;"")&lt;&gt;"—",LEN(TRIM(I376&amp;""))&gt;0,TRIM(I376&amp;"")&lt;&gt;"—",LEN(TRIM(J376&amp;""))&gt;0,TRIM(J376&amp;"")&lt;&gt;"—",LEN(TRIM(O376&amp;""))&gt;0,TRIM(O376&amp;"")&lt;&gt;"—"),"PASS","⚠ FAIL — "&amp;"a required cell is empty/placeholder or wrong type")</f>
        <v>PASS</v>
      </c>
    </row>
    <row r="377" customFormat="false" ht="43.25" hidden="false" customHeight="false" outlineLevel="0" collapsed="false">
      <c r="A377" s="11" t="s">
        <v>1217</v>
      </c>
      <c r="B377" s="68" t="s">
        <v>1218</v>
      </c>
      <c r="C377" s="28" t="n">
        <v>1</v>
      </c>
      <c r="D377" s="36" t="n">
        <v>30</v>
      </c>
      <c r="E377" s="36" t="n">
        <v>30</v>
      </c>
      <c r="F377" s="11" t="s">
        <v>1208</v>
      </c>
      <c r="G377" s="15" t="s">
        <v>1209</v>
      </c>
      <c r="H377" s="15" t="s">
        <v>1210</v>
      </c>
      <c r="I377" s="11" t="n">
        <v>3</v>
      </c>
      <c r="J377" s="11" t="s">
        <v>963</v>
      </c>
      <c r="K377" s="15" t="s">
        <v>1218</v>
      </c>
      <c r="L377" s="68" t="s">
        <v>1211</v>
      </c>
      <c r="M377" s="15" t="s">
        <v>1212</v>
      </c>
      <c r="N377" s="68" t="s">
        <v>1219</v>
      </c>
      <c r="O377" s="69" t="str">
        <f aca="false">IF(AND(LEN(TRIM($B377&amp;""))&gt;0,ISNUMBER($C377),$C377&gt;0,ISNUMBER($D377),$D377&gt;0,ISNUMBER($E377),$E377&gt;0,ABS($E377-$C377*$D377)&lt;=MAX(1,0.005*ABS($E377)),LEN(TRIM($M377&amp;""))&gt;0,TRIM($M377&amp;"")&lt;&gt;"—",LEN(TRIM($P377&amp;""))=0),"PASS","FAIL — "&amp;IF(LEN(TRIM($P377&amp;""))&gt;0,TRIM($P377&amp;""),"line ≠ qty×unit, a required cell empty, or qty/£ non-positive"))</f>
        <v>PASS</v>
      </c>
      <c r="P377" s="70"/>
      <c r="Q377" s="16" t="str">
        <f aca="false">IF(AND(LEN(TRIM(A377&amp;""))&gt;0,TRIM(A377&amp;"")&lt;&gt;"—",LEN(TRIM(B377&amp;""))&gt;0,TRIM(B377&amp;"")&lt;&gt;"—",LEN(TRIM(C377&amp;""))&gt;0,TRIM(C377&amp;"")&lt;&gt;"—",ISNUMBER(C377),LEN(TRIM(D377&amp;""))&gt;0,TRIM(D377&amp;"")&lt;&gt;"—",ISNUMBER(D377),LEN(TRIM(E377&amp;""))&gt;0,TRIM(E377&amp;"")&lt;&gt;"—",ISNUMBER(E377),LEN(TRIM(F377&amp;""))&gt;0,TRIM(F377&amp;"")&lt;&gt;"—",LEN(TRIM(I377&amp;""))&gt;0,TRIM(I377&amp;"")&lt;&gt;"—",LEN(TRIM(J377&amp;""))&gt;0,TRIM(J377&amp;"")&lt;&gt;"—",LEN(TRIM(O377&amp;""))&gt;0,TRIM(O377&amp;"")&lt;&gt;"—"),"PASS","⚠ FAIL — "&amp;"a required cell is empty/placeholder or wrong type")</f>
        <v>PASS</v>
      </c>
    </row>
    <row r="378" customFormat="false" ht="43.25" hidden="false" customHeight="false" outlineLevel="0" collapsed="false">
      <c r="A378" s="11" t="s">
        <v>1220</v>
      </c>
      <c r="B378" s="68" t="s">
        <v>1221</v>
      </c>
      <c r="C378" s="28" t="n">
        <v>1</v>
      </c>
      <c r="D378" s="36" t="n">
        <v>72</v>
      </c>
      <c r="E378" s="36" t="n">
        <v>72</v>
      </c>
      <c r="F378" s="11" t="s">
        <v>1208</v>
      </c>
      <c r="G378" s="15" t="s">
        <v>1209</v>
      </c>
      <c r="H378" s="15" t="s">
        <v>1210</v>
      </c>
      <c r="I378" s="11" t="n">
        <v>3</v>
      </c>
      <c r="J378" s="11" t="s">
        <v>963</v>
      </c>
      <c r="K378" s="15" t="s">
        <v>1221</v>
      </c>
      <c r="L378" s="68" t="s">
        <v>1211</v>
      </c>
      <c r="M378" s="15" t="s">
        <v>1212</v>
      </c>
      <c r="N378" s="68" t="s">
        <v>1222</v>
      </c>
      <c r="O378" s="69" t="str">
        <f aca="false">IF(AND(LEN(TRIM($B378&amp;""))&gt;0,ISNUMBER($C378),$C378&gt;0,ISNUMBER($D378),$D378&gt;0,ISNUMBER($E378),$E378&gt;0,ABS($E378-$C378*$D378)&lt;=MAX(1,0.005*ABS($E378)),LEN(TRIM($M378&amp;""))&gt;0,TRIM($M378&amp;"")&lt;&gt;"—",LEN(TRIM($P378&amp;""))=0),"PASS","FAIL — "&amp;IF(LEN(TRIM($P378&amp;""))&gt;0,TRIM($P378&amp;""),"line ≠ qty×unit, a required cell empty, or qty/£ non-positive"))</f>
        <v>PASS</v>
      </c>
      <c r="P378" s="70"/>
      <c r="Q378" s="16" t="str">
        <f aca="false">IF(AND(LEN(TRIM(A378&amp;""))&gt;0,TRIM(A378&amp;"")&lt;&gt;"—",LEN(TRIM(B378&amp;""))&gt;0,TRIM(B378&amp;"")&lt;&gt;"—",LEN(TRIM(C378&amp;""))&gt;0,TRIM(C378&amp;"")&lt;&gt;"—",ISNUMBER(C378),LEN(TRIM(D378&amp;""))&gt;0,TRIM(D378&amp;"")&lt;&gt;"—",ISNUMBER(D378),LEN(TRIM(E378&amp;""))&gt;0,TRIM(E378&amp;"")&lt;&gt;"—",ISNUMBER(E378),LEN(TRIM(F378&amp;""))&gt;0,TRIM(F378&amp;"")&lt;&gt;"—",LEN(TRIM(I378&amp;""))&gt;0,TRIM(I378&amp;"")&lt;&gt;"—",LEN(TRIM(J378&amp;""))&gt;0,TRIM(J378&amp;"")&lt;&gt;"—",LEN(TRIM(O378&amp;""))&gt;0,TRIM(O378&amp;"")&lt;&gt;"—"),"PASS","⚠ FAIL — "&amp;"a required cell is empty/placeholder or wrong type")</f>
        <v>PASS</v>
      </c>
    </row>
    <row r="379" customFormat="false" ht="43.25" hidden="false" customHeight="false" outlineLevel="0" collapsed="false">
      <c r="A379" s="11" t="s">
        <v>1223</v>
      </c>
      <c r="B379" s="68" t="s">
        <v>1224</v>
      </c>
      <c r="C379" s="28" t="n">
        <v>1</v>
      </c>
      <c r="D379" s="36" t="n">
        <v>29</v>
      </c>
      <c r="E379" s="36" t="n">
        <v>29</v>
      </c>
      <c r="F379" s="11" t="s">
        <v>1208</v>
      </c>
      <c r="G379" s="15" t="s">
        <v>1209</v>
      </c>
      <c r="H379" s="15" t="s">
        <v>1210</v>
      </c>
      <c r="I379" s="11" t="n">
        <v>3</v>
      </c>
      <c r="J379" s="11" t="s">
        <v>963</v>
      </c>
      <c r="K379" s="15" t="s">
        <v>1224</v>
      </c>
      <c r="L379" s="68" t="s">
        <v>1211</v>
      </c>
      <c r="M379" s="15" t="s">
        <v>1212</v>
      </c>
      <c r="N379" s="68" t="s">
        <v>1225</v>
      </c>
      <c r="O379" s="69" t="str">
        <f aca="false">IF(AND(LEN(TRIM($B379&amp;""))&gt;0,ISNUMBER($C379),$C379&gt;0,ISNUMBER($D379),$D379&gt;0,ISNUMBER($E379),$E379&gt;0,ABS($E379-$C379*$D379)&lt;=MAX(1,0.005*ABS($E379)),LEN(TRIM($M379&amp;""))&gt;0,TRIM($M379&amp;"")&lt;&gt;"—",LEN(TRIM($P379&amp;""))=0),"PASS","FAIL — "&amp;IF(LEN(TRIM($P379&amp;""))&gt;0,TRIM($P379&amp;""),"line ≠ qty×unit, a required cell empty, or qty/£ non-positive"))</f>
        <v>PASS</v>
      </c>
      <c r="P379" s="70"/>
      <c r="Q379" s="16" t="str">
        <f aca="false">IF(AND(LEN(TRIM(A379&amp;""))&gt;0,TRIM(A379&amp;"")&lt;&gt;"—",LEN(TRIM(B379&amp;""))&gt;0,TRIM(B379&amp;"")&lt;&gt;"—",LEN(TRIM(C379&amp;""))&gt;0,TRIM(C379&amp;"")&lt;&gt;"—",ISNUMBER(C379),LEN(TRIM(D379&amp;""))&gt;0,TRIM(D379&amp;"")&lt;&gt;"—",ISNUMBER(D379),LEN(TRIM(E379&amp;""))&gt;0,TRIM(E379&amp;"")&lt;&gt;"—",ISNUMBER(E379),LEN(TRIM(F379&amp;""))&gt;0,TRIM(F379&amp;"")&lt;&gt;"—",LEN(TRIM(I379&amp;""))&gt;0,TRIM(I379&amp;"")&lt;&gt;"—",LEN(TRIM(J379&amp;""))&gt;0,TRIM(J379&amp;"")&lt;&gt;"—",LEN(TRIM(O379&amp;""))&gt;0,TRIM(O379&amp;"")&lt;&gt;"—"),"PASS","⚠ FAIL — "&amp;"a required cell is empty/placeholder or wrong type")</f>
        <v>PASS</v>
      </c>
    </row>
    <row r="380" customFormat="false" ht="43.25" hidden="false" customHeight="false" outlineLevel="0" collapsed="false">
      <c r="A380" s="11" t="s">
        <v>1226</v>
      </c>
      <c r="B380" s="68" t="s">
        <v>1227</v>
      </c>
      <c r="C380" s="28" t="n">
        <v>1</v>
      </c>
      <c r="D380" s="36" t="n">
        <v>90</v>
      </c>
      <c r="E380" s="36" t="n">
        <v>90</v>
      </c>
      <c r="F380" s="11" t="s">
        <v>1208</v>
      </c>
      <c r="G380" s="15" t="s">
        <v>1209</v>
      </c>
      <c r="H380" s="15" t="s">
        <v>1210</v>
      </c>
      <c r="I380" s="11" t="n">
        <v>3</v>
      </c>
      <c r="J380" s="11" t="s">
        <v>963</v>
      </c>
      <c r="K380" s="15" t="s">
        <v>1227</v>
      </c>
      <c r="L380" s="68" t="s">
        <v>1211</v>
      </c>
      <c r="M380" s="15" t="s">
        <v>1212</v>
      </c>
      <c r="N380" s="68" t="s">
        <v>1228</v>
      </c>
      <c r="O380" s="69" t="str">
        <f aca="false">IF(AND(LEN(TRIM($B380&amp;""))&gt;0,ISNUMBER($C380),$C380&gt;0,ISNUMBER($D380),$D380&gt;0,ISNUMBER($E380),$E380&gt;0,ABS($E380-$C380*$D380)&lt;=MAX(1,0.005*ABS($E380)),LEN(TRIM($M380&amp;""))&gt;0,TRIM($M380&amp;"")&lt;&gt;"—",LEN(TRIM($P380&amp;""))=0),"PASS","FAIL — "&amp;IF(LEN(TRIM($P380&amp;""))&gt;0,TRIM($P380&amp;""),"line ≠ qty×unit, a required cell empty, or qty/£ non-positive"))</f>
        <v>PASS</v>
      </c>
      <c r="P380" s="70"/>
      <c r="Q380" s="16" t="str">
        <f aca="false">IF(AND(LEN(TRIM(A380&amp;""))&gt;0,TRIM(A380&amp;"")&lt;&gt;"—",LEN(TRIM(B380&amp;""))&gt;0,TRIM(B380&amp;"")&lt;&gt;"—",LEN(TRIM(C380&amp;""))&gt;0,TRIM(C380&amp;"")&lt;&gt;"—",ISNUMBER(C380),LEN(TRIM(D380&amp;""))&gt;0,TRIM(D380&amp;"")&lt;&gt;"—",ISNUMBER(D380),LEN(TRIM(E380&amp;""))&gt;0,TRIM(E380&amp;"")&lt;&gt;"—",ISNUMBER(E380),LEN(TRIM(F380&amp;""))&gt;0,TRIM(F380&amp;"")&lt;&gt;"—",LEN(TRIM(I380&amp;""))&gt;0,TRIM(I380&amp;"")&lt;&gt;"—",LEN(TRIM(J380&amp;""))&gt;0,TRIM(J380&amp;"")&lt;&gt;"—",LEN(TRIM(O380&amp;""))&gt;0,TRIM(O380&amp;"")&lt;&gt;"—"),"PASS","⚠ FAIL — "&amp;"a required cell is empty/placeholder or wrong type")</f>
        <v>PASS</v>
      </c>
    </row>
    <row r="381" customFormat="false" ht="43.25" hidden="false" customHeight="false" outlineLevel="0" collapsed="false">
      <c r="A381" s="11" t="s">
        <v>1229</v>
      </c>
      <c r="B381" s="68" t="s">
        <v>1230</v>
      </c>
      <c r="C381" s="28" t="n">
        <v>1</v>
      </c>
      <c r="D381" s="36" t="n">
        <v>87</v>
      </c>
      <c r="E381" s="36" t="n">
        <v>87</v>
      </c>
      <c r="F381" s="11" t="s">
        <v>1208</v>
      </c>
      <c r="G381" s="15" t="s">
        <v>1209</v>
      </c>
      <c r="H381" s="15" t="s">
        <v>1210</v>
      </c>
      <c r="I381" s="11" t="n">
        <v>3</v>
      </c>
      <c r="J381" s="11" t="s">
        <v>963</v>
      </c>
      <c r="K381" s="15" t="s">
        <v>1230</v>
      </c>
      <c r="L381" s="68" t="s">
        <v>1211</v>
      </c>
      <c r="M381" s="15" t="s">
        <v>1212</v>
      </c>
      <c r="N381" s="68" t="s">
        <v>1231</v>
      </c>
      <c r="O381" s="69" t="str">
        <f aca="false">IF(AND(LEN(TRIM($B381&amp;""))&gt;0,ISNUMBER($C381),$C381&gt;0,ISNUMBER($D381),$D381&gt;0,ISNUMBER($E381),$E381&gt;0,ABS($E381-$C381*$D381)&lt;=MAX(1,0.005*ABS($E381)),LEN(TRIM($M381&amp;""))&gt;0,TRIM($M381&amp;"")&lt;&gt;"—",LEN(TRIM($P381&amp;""))=0),"PASS","FAIL — "&amp;IF(LEN(TRIM($P381&amp;""))&gt;0,TRIM($P381&amp;""),"line ≠ qty×unit, a required cell empty, or qty/£ non-positive"))</f>
        <v>PASS</v>
      </c>
      <c r="P381" s="70"/>
      <c r="Q381" s="16" t="str">
        <f aca="false">IF(AND(LEN(TRIM(A381&amp;""))&gt;0,TRIM(A381&amp;"")&lt;&gt;"—",LEN(TRIM(B381&amp;""))&gt;0,TRIM(B381&amp;"")&lt;&gt;"—",LEN(TRIM(C381&amp;""))&gt;0,TRIM(C381&amp;"")&lt;&gt;"—",ISNUMBER(C381),LEN(TRIM(D381&amp;""))&gt;0,TRIM(D381&amp;"")&lt;&gt;"—",ISNUMBER(D381),LEN(TRIM(E381&amp;""))&gt;0,TRIM(E381&amp;"")&lt;&gt;"—",ISNUMBER(E381),LEN(TRIM(F381&amp;""))&gt;0,TRIM(F381&amp;"")&lt;&gt;"—",LEN(TRIM(I381&amp;""))&gt;0,TRIM(I381&amp;"")&lt;&gt;"—",LEN(TRIM(J381&amp;""))&gt;0,TRIM(J381&amp;"")&lt;&gt;"—",LEN(TRIM(O381&amp;""))&gt;0,TRIM(O381&amp;"")&lt;&gt;"—"),"PASS","⚠ FAIL — "&amp;"a required cell is empty/placeholder or wrong type")</f>
        <v>PASS</v>
      </c>
    </row>
    <row r="382" customFormat="false" ht="43.25" hidden="false" customHeight="false" outlineLevel="0" collapsed="false">
      <c r="A382" s="11" t="s">
        <v>1232</v>
      </c>
      <c r="B382" s="68" t="s">
        <v>1233</v>
      </c>
      <c r="C382" s="28" t="n">
        <v>1</v>
      </c>
      <c r="D382" s="36" t="n">
        <v>83</v>
      </c>
      <c r="E382" s="36" t="n">
        <v>83</v>
      </c>
      <c r="F382" s="11" t="s">
        <v>1208</v>
      </c>
      <c r="G382" s="15" t="s">
        <v>1209</v>
      </c>
      <c r="H382" s="15" t="s">
        <v>1210</v>
      </c>
      <c r="I382" s="11" t="n">
        <v>3</v>
      </c>
      <c r="J382" s="11" t="s">
        <v>963</v>
      </c>
      <c r="K382" s="15" t="s">
        <v>1233</v>
      </c>
      <c r="L382" s="68" t="s">
        <v>1211</v>
      </c>
      <c r="M382" s="15" t="s">
        <v>1212</v>
      </c>
      <c r="N382" s="68" t="s">
        <v>1234</v>
      </c>
      <c r="O382" s="69" t="str">
        <f aca="false">IF(AND(LEN(TRIM($B382&amp;""))&gt;0,ISNUMBER($C382),$C382&gt;0,ISNUMBER($D382),$D382&gt;0,ISNUMBER($E382),$E382&gt;0,ABS($E382-$C382*$D382)&lt;=MAX(1,0.005*ABS($E382)),LEN(TRIM($M382&amp;""))&gt;0,TRIM($M382&amp;"")&lt;&gt;"—",LEN(TRIM($P382&amp;""))=0),"PASS","FAIL — "&amp;IF(LEN(TRIM($P382&amp;""))&gt;0,TRIM($P382&amp;""),"line ≠ qty×unit, a required cell empty, or qty/£ non-positive"))</f>
        <v>PASS</v>
      </c>
      <c r="P382" s="70"/>
      <c r="Q382" s="16" t="str">
        <f aca="false">IF(AND(LEN(TRIM(A382&amp;""))&gt;0,TRIM(A382&amp;"")&lt;&gt;"—",LEN(TRIM(B382&amp;""))&gt;0,TRIM(B382&amp;"")&lt;&gt;"—",LEN(TRIM(C382&amp;""))&gt;0,TRIM(C382&amp;"")&lt;&gt;"—",ISNUMBER(C382),LEN(TRIM(D382&amp;""))&gt;0,TRIM(D382&amp;"")&lt;&gt;"—",ISNUMBER(D382),LEN(TRIM(E382&amp;""))&gt;0,TRIM(E382&amp;"")&lt;&gt;"—",ISNUMBER(E382),LEN(TRIM(F382&amp;""))&gt;0,TRIM(F382&amp;"")&lt;&gt;"—",LEN(TRIM(I382&amp;""))&gt;0,TRIM(I382&amp;"")&lt;&gt;"—",LEN(TRIM(J382&amp;""))&gt;0,TRIM(J382&amp;"")&lt;&gt;"—",LEN(TRIM(O382&amp;""))&gt;0,TRIM(O382&amp;"")&lt;&gt;"—"),"PASS","⚠ FAIL — "&amp;"a required cell is empty/placeholder or wrong type")</f>
        <v>PASS</v>
      </c>
    </row>
    <row r="383" customFormat="false" ht="43.25" hidden="false" customHeight="false" outlineLevel="0" collapsed="false">
      <c r="A383" s="11" t="s">
        <v>1235</v>
      </c>
      <c r="B383" s="68" t="s">
        <v>1236</v>
      </c>
      <c r="C383" s="28" t="n">
        <v>1</v>
      </c>
      <c r="D383" s="36" t="n">
        <v>106</v>
      </c>
      <c r="E383" s="36" t="n">
        <v>106</v>
      </c>
      <c r="F383" s="11" t="s">
        <v>1208</v>
      </c>
      <c r="G383" s="15" t="s">
        <v>1209</v>
      </c>
      <c r="H383" s="15" t="s">
        <v>1210</v>
      </c>
      <c r="I383" s="11" t="n">
        <v>3</v>
      </c>
      <c r="J383" s="11" t="s">
        <v>963</v>
      </c>
      <c r="K383" s="15" t="s">
        <v>1236</v>
      </c>
      <c r="L383" s="68" t="s">
        <v>1211</v>
      </c>
      <c r="M383" s="15" t="s">
        <v>1212</v>
      </c>
      <c r="N383" s="68" t="s">
        <v>1237</v>
      </c>
      <c r="O383" s="69" t="str">
        <f aca="false">IF(AND(LEN(TRIM($B383&amp;""))&gt;0,ISNUMBER($C383),$C383&gt;0,ISNUMBER($D383),$D383&gt;0,ISNUMBER($E383),$E383&gt;0,ABS($E383-$C383*$D383)&lt;=MAX(1,0.005*ABS($E383)),LEN(TRIM($M383&amp;""))&gt;0,TRIM($M383&amp;"")&lt;&gt;"—",LEN(TRIM($P383&amp;""))=0),"PASS","FAIL — "&amp;IF(LEN(TRIM($P383&amp;""))&gt;0,TRIM($P383&amp;""),"line ≠ qty×unit, a required cell empty, or qty/£ non-positive"))</f>
        <v>PASS</v>
      </c>
      <c r="P383" s="70"/>
      <c r="Q383" s="16" t="str">
        <f aca="false">IF(AND(LEN(TRIM(A383&amp;""))&gt;0,TRIM(A383&amp;"")&lt;&gt;"—",LEN(TRIM(B383&amp;""))&gt;0,TRIM(B383&amp;"")&lt;&gt;"—",LEN(TRIM(C383&amp;""))&gt;0,TRIM(C383&amp;"")&lt;&gt;"—",ISNUMBER(C383),LEN(TRIM(D383&amp;""))&gt;0,TRIM(D383&amp;"")&lt;&gt;"—",ISNUMBER(D383),LEN(TRIM(E383&amp;""))&gt;0,TRIM(E383&amp;"")&lt;&gt;"—",ISNUMBER(E383),LEN(TRIM(F383&amp;""))&gt;0,TRIM(F383&amp;"")&lt;&gt;"—",LEN(TRIM(I383&amp;""))&gt;0,TRIM(I383&amp;"")&lt;&gt;"—",LEN(TRIM(J383&amp;""))&gt;0,TRIM(J383&amp;"")&lt;&gt;"—",LEN(TRIM(O383&amp;""))&gt;0,TRIM(O383&amp;"")&lt;&gt;"—"),"PASS","⚠ FAIL — "&amp;"a required cell is empty/placeholder or wrong type")</f>
        <v>PASS</v>
      </c>
    </row>
    <row r="384" customFormat="false" ht="43.25" hidden="false" customHeight="false" outlineLevel="0" collapsed="false">
      <c r="A384" s="11" t="s">
        <v>1238</v>
      </c>
      <c r="B384" s="68" t="s">
        <v>1239</v>
      </c>
      <c r="C384" s="28" t="n">
        <v>1</v>
      </c>
      <c r="D384" s="36" t="n">
        <v>94</v>
      </c>
      <c r="E384" s="36" t="n">
        <v>94</v>
      </c>
      <c r="F384" s="11" t="s">
        <v>1208</v>
      </c>
      <c r="G384" s="15" t="s">
        <v>1209</v>
      </c>
      <c r="H384" s="15" t="s">
        <v>1210</v>
      </c>
      <c r="I384" s="11" t="n">
        <v>3</v>
      </c>
      <c r="J384" s="11" t="s">
        <v>963</v>
      </c>
      <c r="K384" s="15" t="s">
        <v>1239</v>
      </c>
      <c r="L384" s="68" t="s">
        <v>1211</v>
      </c>
      <c r="M384" s="15" t="s">
        <v>1212</v>
      </c>
      <c r="N384" s="68" t="s">
        <v>1240</v>
      </c>
      <c r="O384" s="69" t="str">
        <f aca="false">IF(AND(LEN(TRIM($B384&amp;""))&gt;0,ISNUMBER($C384),$C384&gt;0,ISNUMBER($D384),$D384&gt;0,ISNUMBER($E384),$E384&gt;0,ABS($E384-$C384*$D384)&lt;=MAX(1,0.005*ABS($E384)),LEN(TRIM($M384&amp;""))&gt;0,TRIM($M384&amp;"")&lt;&gt;"—",LEN(TRIM($P384&amp;""))=0),"PASS","FAIL — "&amp;IF(LEN(TRIM($P384&amp;""))&gt;0,TRIM($P384&amp;""),"line ≠ qty×unit, a required cell empty, or qty/£ non-positive"))</f>
        <v>PASS</v>
      </c>
      <c r="P384" s="70"/>
      <c r="Q384" s="16" t="str">
        <f aca="false">IF(AND(LEN(TRIM(A384&amp;""))&gt;0,TRIM(A384&amp;"")&lt;&gt;"—",LEN(TRIM(B384&amp;""))&gt;0,TRIM(B384&amp;"")&lt;&gt;"—",LEN(TRIM(C384&amp;""))&gt;0,TRIM(C384&amp;"")&lt;&gt;"—",ISNUMBER(C384),LEN(TRIM(D384&amp;""))&gt;0,TRIM(D384&amp;"")&lt;&gt;"—",ISNUMBER(D384),LEN(TRIM(E384&amp;""))&gt;0,TRIM(E384&amp;"")&lt;&gt;"—",ISNUMBER(E384),LEN(TRIM(F384&amp;""))&gt;0,TRIM(F384&amp;"")&lt;&gt;"—",LEN(TRIM(I384&amp;""))&gt;0,TRIM(I384&amp;"")&lt;&gt;"—",LEN(TRIM(J384&amp;""))&gt;0,TRIM(J384&amp;"")&lt;&gt;"—",LEN(TRIM(O384&amp;""))&gt;0,TRIM(O384&amp;"")&lt;&gt;"—"),"PASS","⚠ FAIL — "&amp;"a required cell is empty/placeholder or wrong type")</f>
        <v>PASS</v>
      </c>
    </row>
    <row r="385" customFormat="false" ht="43.25" hidden="false" customHeight="false" outlineLevel="0" collapsed="false">
      <c r="A385" s="11" t="s">
        <v>1241</v>
      </c>
      <c r="B385" s="68" t="s">
        <v>1242</v>
      </c>
      <c r="C385" s="28" t="n">
        <v>1</v>
      </c>
      <c r="D385" s="36" t="n">
        <v>76</v>
      </c>
      <c r="E385" s="36" t="n">
        <v>76</v>
      </c>
      <c r="F385" s="11" t="s">
        <v>1208</v>
      </c>
      <c r="G385" s="15" t="s">
        <v>1209</v>
      </c>
      <c r="H385" s="15" t="s">
        <v>1210</v>
      </c>
      <c r="I385" s="11" t="n">
        <v>3</v>
      </c>
      <c r="J385" s="11" t="s">
        <v>963</v>
      </c>
      <c r="K385" s="15" t="s">
        <v>1242</v>
      </c>
      <c r="L385" s="68" t="s">
        <v>1211</v>
      </c>
      <c r="M385" s="15" t="s">
        <v>1212</v>
      </c>
      <c r="N385" s="68" t="s">
        <v>1243</v>
      </c>
      <c r="O385" s="69" t="str">
        <f aca="false">IF(AND(LEN(TRIM($B385&amp;""))&gt;0,ISNUMBER($C385),$C385&gt;0,ISNUMBER($D385),$D385&gt;0,ISNUMBER($E385),$E385&gt;0,ABS($E385-$C385*$D385)&lt;=MAX(1,0.005*ABS($E385)),LEN(TRIM($M385&amp;""))&gt;0,TRIM($M385&amp;"")&lt;&gt;"—",LEN(TRIM($P385&amp;""))=0),"PASS","FAIL — "&amp;IF(LEN(TRIM($P385&amp;""))&gt;0,TRIM($P385&amp;""),"line ≠ qty×unit, a required cell empty, or qty/£ non-positive"))</f>
        <v>PASS</v>
      </c>
      <c r="P385" s="70"/>
      <c r="Q385" s="16" t="str">
        <f aca="false">IF(AND(LEN(TRIM(A385&amp;""))&gt;0,TRIM(A385&amp;"")&lt;&gt;"—",LEN(TRIM(B385&amp;""))&gt;0,TRIM(B385&amp;"")&lt;&gt;"—",LEN(TRIM(C385&amp;""))&gt;0,TRIM(C385&amp;"")&lt;&gt;"—",ISNUMBER(C385),LEN(TRIM(D385&amp;""))&gt;0,TRIM(D385&amp;"")&lt;&gt;"—",ISNUMBER(D385),LEN(TRIM(E385&amp;""))&gt;0,TRIM(E385&amp;"")&lt;&gt;"—",ISNUMBER(E385),LEN(TRIM(F385&amp;""))&gt;0,TRIM(F385&amp;"")&lt;&gt;"—",LEN(TRIM(I385&amp;""))&gt;0,TRIM(I385&amp;"")&lt;&gt;"—",LEN(TRIM(J385&amp;""))&gt;0,TRIM(J385&amp;"")&lt;&gt;"—",LEN(TRIM(O385&amp;""))&gt;0,TRIM(O385&amp;"")&lt;&gt;"—"),"PASS","⚠ FAIL — "&amp;"a required cell is empty/placeholder or wrong type")</f>
        <v>PASS</v>
      </c>
    </row>
    <row r="386" customFormat="false" ht="43.25" hidden="false" customHeight="false" outlineLevel="0" collapsed="false">
      <c r="A386" s="11" t="s">
        <v>1244</v>
      </c>
      <c r="B386" s="68" t="s">
        <v>1245</v>
      </c>
      <c r="C386" s="28" t="n">
        <v>1</v>
      </c>
      <c r="D386" s="36" t="n">
        <v>96</v>
      </c>
      <c r="E386" s="36" t="n">
        <v>96</v>
      </c>
      <c r="F386" s="11" t="s">
        <v>1208</v>
      </c>
      <c r="G386" s="15" t="s">
        <v>1209</v>
      </c>
      <c r="H386" s="15" t="s">
        <v>1210</v>
      </c>
      <c r="I386" s="11" t="n">
        <v>3</v>
      </c>
      <c r="J386" s="11" t="s">
        <v>963</v>
      </c>
      <c r="K386" s="15" t="s">
        <v>1245</v>
      </c>
      <c r="L386" s="68" t="s">
        <v>1211</v>
      </c>
      <c r="M386" s="15" t="s">
        <v>1212</v>
      </c>
      <c r="N386" s="68" t="s">
        <v>1246</v>
      </c>
      <c r="O386" s="69" t="str">
        <f aca="false">IF(AND(LEN(TRIM($B386&amp;""))&gt;0,ISNUMBER($C386),$C386&gt;0,ISNUMBER($D386),$D386&gt;0,ISNUMBER($E386),$E386&gt;0,ABS($E386-$C386*$D386)&lt;=MAX(1,0.005*ABS($E386)),LEN(TRIM($M386&amp;""))&gt;0,TRIM($M386&amp;"")&lt;&gt;"—",LEN(TRIM($P386&amp;""))=0),"PASS","FAIL — "&amp;IF(LEN(TRIM($P386&amp;""))&gt;0,TRIM($P386&amp;""),"line ≠ qty×unit, a required cell empty, or qty/£ non-positive"))</f>
        <v>PASS</v>
      </c>
      <c r="P386" s="70"/>
      <c r="Q386" s="16" t="str">
        <f aca="false">IF(AND(LEN(TRIM(A386&amp;""))&gt;0,TRIM(A386&amp;"")&lt;&gt;"—",LEN(TRIM(B386&amp;""))&gt;0,TRIM(B386&amp;"")&lt;&gt;"—",LEN(TRIM(C386&amp;""))&gt;0,TRIM(C386&amp;"")&lt;&gt;"—",ISNUMBER(C386),LEN(TRIM(D386&amp;""))&gt;0,TRIM(D386&amp;"")&lt;&gt;"—",ISNUMBER(D386),LEN(TRIM(E386&amp;""))&gt;0,TRIM(E386&amp;"")&lt;&gt;"—",ISNUMBER(E386),LEN(TRIM(F386&amp;""))&gt;0,TRIM(F386&amp;"")&lt;&gt;"—",LEN(TRIM(I386&amp;""))&gt;0,TRIM(I386&amp;"")&lt;&gt;"—",LEN(TRIM(J386&amp;""))&gt;0,TRIM(J386&amp;"")&lt;&gt;"—",LEN(TRIM(O386&amp;""))&gt;0,TRIM(O386&amp;"")&lt;&gt;"—"),"PASS","⚠ FAIL — "&amp;"a required cell is empty/placeholder or wrong type")</f>
        <v>PASS</v>
      </c>
    </row>
    <row r="387" customFormat="false" ht="43.25" hidden="false" customHeight="false" outlineLevel="0" collapsed="false">
      <c r="A387" s="11" t="s">
        <v>1247</v>
      </c>
      <c r="B387" s="68" t="s">
        <v>1248</v>
      </c>
      <c r="C387" s="28" t="n">
        <v>1</v>
      </c>
      <c r="D387" s="36" t="n">
        <v>109</v>
      </c>
      <c r="E387" s="36" t="n">
        <v>109</v>
      </c>
      <c r="F387" s="11" t="s">
        <v>1208</v>
      </c>
      <c r="G387" s="15" t="s">
        <v>1209</v>
      </c>
      <c r="H387" s="15" t="s">
        <v>1210</v>
      </c>
      <c r="I387" s="11" t="n">
        <v>3</v>
      </c>
      <c r="J387" s="11" t="s">
        <v>963</v>
      </c>
      <c r="K387" s="15" t="s">
        <v>1248</v>
      </c>
      <c r="L387" s="68" t="s">
        <v>1211</v>
      </c>
      <c r="M387" s="15" t="s">
        <v>1212</v>
      </c>
      <c r="N387" s="68" t="s">
        <v>1249</v>
      </c>
      <c r="O387" s="69" t="str">
        <f aca="false">IF(AND(LEN(TRIM($B387&amp;""))&gt;0,ISNUMBER($C387),$C387&gt;0,ISNUMBER($D387),$D387&gt;0,ISNUMBER($E387),$E387&gt;0,ABS($E387-$C387*$D387)&lt;=MAX(1,0.005*ABS($E387)),LEN(TRIM($M387&amp;""))&gt;0,TRIM($M387&amp;"")&lt;&gt;"—",LEN(TRIM($P387&amp;""))=0),"PASS","FAIL — "&amp;IF(LEN(TRIM($P387&amp;""))&gt;0,TRIM($P387&amp;""),"line ≠ qty×unit, a required cell empty, or qty/£ non-positive"))</f>
        <v>PASS</v>
      </c>
      <c r="P387" s="70"/>
      <c r="Q387" s="16" t="str">
        <f aca="false">IF(AND(LEN(TRIM(A387&amp;""))&gt;0,TRIM(A387&amp;"")&lt;&gt;"—",LEN(TRIM(B387&amp;""))&gt;0,TRIM(B387&amp;"")&lt;&gt;"—",LEN(TRIM(C387&amp;""))&gt;0,TRIM(C387&amp;"")&lt;&gt;"—",ISNUMBER(C387),LEN(TRIM(D387&amp;""))&gt;0,TRIM(D387&amp;"")&lt;&gt;"—",ISNUMBER(D387),LEN(TRIM(E387&amp;""))&gt;0,TRIM(E387&amp;"")&lt;&gt;"—",ISNUMBER(E387),LEN(TRIM(F387&amp;""))&gt;0,TRIM(F387&amp;"")&lt;&gt;"—",LEN(TRIM(I387&amp;""))&gt;0,TRIM(I387&amp;"")&lt;&gt;"—",LEN(TRIM(J387&amp;""))&gt;0,TRIM(J387&amp;"")&lt;&gt;"—",LEN(TRIM(O387&amp;""))&gt;0,TRIM(O387&amp;"")&lt;&gt;"—"),"PASS","⚠ FAIL — "&amp;"a required cell is empty/placeholder or wrong type")</f>
        <v>PASS</v>
      </c>
    </row>
    <row r="388" customFormat="false" ht="43.25" hidden="false" customHeight="false" outlineLevel="0" collapsed="false">
      <c r="A388" s="11" t="s">
        <v>1250</v>
      </c>
      <c r="B388" s="68" t="s">
        <v>1251</v>
      </c>
      <c r="C388" s="28" t="n">
        <v>1</v>
      </c>
      <c r="D388" s="36" t="n">
        <v>113</v>
      </c>
      <c r="E388" s="36" t="n">
        <v>113</v>
      </c>
      <c r="F388" s="11" t="s">
        <v>1208</v>
      </c>
      <c r="G388" s="15" t="s">
        <v>1209</v>
      </c>
      <c r="H388" s="15" t="s">
        <v>1210</v>
      </c>
      <c r="I388" s="11" t="n">
        <v>3</v>
      </c>
      <c r="J388" s="11" t="s">
        <v>963</v>
      </c>
      <c r="K388" s="15" t="s">
        <v>1251</v>
      </c>
      <c r="L388" s="68" t="s">
        <v>1211</v>
      </c>
      <c r="M388" s="15" t="s">
        <v>1212</v>
      </c>
      <c r="N388" s="68" t="s">
        <v>1252</v>
      </c>
      <c r="O388" s="69" t="str">
        <f aca="false">IF(AND(LEN(TRIM($B388&amp;""))&gt;0,ISNUMBER($C388),$C388&gt;0,ISNUMBER($D388),$D388&gt;0,ISNUMBER($E388),$E388&gt;0,ABS($E388-$C388*$D388)&lt;=MAX(1,0.005*ABS($E388)),LEN(TRIM($M388&amp;""))&gt;0,TRIM($M388&amp;"")&lt;&gt;"—",LEN(TRIM($P388&amp;""))=0),"PASS","FAIL — "&amp;IF(LEN(TRIM($P388&amp;""))&gt;0,TRIM($P388&amp;""),"line ≠ qty×unit, a required cell empty, or qty/£ non-positive"))</f>
        <v>PASS</v>
      </c>
      <c r="P388" s="70"/>
      <c r="Q388" s="16" t="str">
        <f aca="false">IF(AND(LEN(TRIM(A388&amp;""))&gt;0,TRIM(A388&amp;"")&lt;&gt;"—",LEN(TRIM(B388&amp;""))&gt;0,TRIM(B388&amp;"")&lt;&gt;"—",LEN(TRIM(C388&amp;""))&gt;0,TRIM(C388&amp;"")&lt;&gt;"—",ISNUMBER(C388),LEN(TRIM(D388&amp;""))&gt;0,TRIM(D388&amp;"")&lt;&gt;"—",ISNUMBER(D388),LEN(TRIM(E388&amp;""))&gt;0,TRIM(E388&amp;"")&lt;&gt;"—",ISNUMBER(E388),LEN(TRIM(F388&amp;""))&gt;0,TRIM(F388&amp;"")&lt;&gt;"—",LEN(TRIM(I388&amp;""))&gt;0,TRIM(I388&amp;"")&lt;&gt;"—",LEN(TRIM(J388&amp;""))&gt;0,TRIM(J388&amp;"")&lt;&gt;"—",LEN(TRIM(O388&amp;""))&gt;0,TRIM(O388&amp;"")&lt;&gt;"—"),"PASS","⚠ FAIL — "&amp;"a required cell is empty/placeholder or wrong type")</f>
        <v>PASS</v>
      </c>
    </row>
    <row r="389" customFormat="false" ht="43.25" hidden="false" customHeight="false" outlineLevel="0" collapsed="false">
      <c r="A389" s="11" t="s">
        <v>1253</v>
      </c>
      <c r="B389" s="68" t="s">
        <v>1254</v>
      </c>
      <c r="C389" s="28" t="n">
        <v>1</v>
      </c>
      <c r="D389" s="36" t="n">
        <v>44</v>
      </c>
      <c r="E389" s="36" t="n">
        <v>44</v>
      </c>
      <c r="F389" s="11" t="s">
        <v>1208</v>
      </c>
      <c r="G389" s="15" t="s">
        <v>1209</v>
      </c>
      <c r="H389" s="15" t="s">
        <v>1210</v>
      </c>
      <c r="I389" s="11" t="n">
        <v>3</v>
      </c>
      <c r="J389" s="11" t="s">
        <v>963</v>
      </c>
      <c r="K389" s="15" t="s">
        <v>1254</v>
      </c>
      <c r="L389" s="68" t="s">
        <v>1211</v>
      </c>
      <c r="M389" s="15" t="s">
        <v>1212</v>
      </c>
      <c r="N389" s="68" t="s">
        <v>1255</v>
      </c>
      <c r="O389" s="69" t="str">
        <f aca="false">IF(AND(LEN(TRIM($B389&amp;""))&gt;0,ISNUMBER($C389),$C389&gt;0,ISNUMBER($D389),$D389&gt;0,ISNUMBER($E389),$E389&gt;0,ABS($E389-$C389*$D389)&lt;=MAX(1,0.005*ABS($E389)),LEN(TRIM($M389&amp;""))&gt;0,TRIM($M389&amp;"")&lt;&gt;"—",LEN(TRIM($P389&amp;""))=0),"PASS","FAIL — "&amp;IF(LEN(TRIM($P389&amp;""))&gt;0,TRIM($P389&amp;""),"line ≠ qty×unit, a required cell empty, or qty/£ non-positive"))</f>
        <v>PASS</v>
      </c>
      <c r="P389" s="70"/>
      <c r="Q389" s="16" t="str">
        <f aca="false">IF(AND(LEN(TRIM(A389&amp;""))&gt;0,TRIM(A389&amp;"")&lt;&gt;"—",LEN(TRIM(B389&amp;""))&gt;0,TRIM(B389&amp;"")&lt;&gt;"—",LEN(TRIM(C389&amp;""))&gt;0,TRIM(C389&amp;"")&lt;&gt;"—",ISNUMBER(C389),LEN(TRIM(D389&amp;""))&gt;0,TRIM(D389&amp;"")&lt;&gt;"—",ISNUMBER(D389),LEN(TRIM(E389&amp;""))&gt;0,TRIM(E389&amp;"")&lt;&gt;"—",ISNUMBER(E389),LEN(TRIM(F389&amp;""))&gt;0,TRIM(F389&amp;"")&lt;&gt;"—",LEN(TRIM(I389&amp;""))&gt;0,TRIM(I389&amp;"")&lt;&gt;"—",LEN(TRIM(J389&amp;""))&gt;0,TRIM(J389&amp;"")&lt;&gt;"—",LEN(TRIM(O389&amp;""))&gt;0,TRIM(O389&amp;"")&lt;&gt;"—"),"PASS","⚠ FAIL — "&amp;"a required cell is empty/placeholder or wrong type")</f>
        <v>PASS</v>
      </c>
    </row>
    <row r="390" customFormat="false" ht="43.25" hidden="false" customHeight="false" outlineLevel="0" collapsed="false">
      <c r="A390" s="11" t="s">
        <v>1256</v>
      </c>
      <c r="B390" s="68" t="s">
        <v>1257</v>
      </c>
      <c r="C390" s="28" t="n">
        <v>1</v>
      </c>
      <c r="D390" s="36" t="n">
        <v>35</v>
      </c>
      <c r="E390" s="36" t="n">
        <v>35</v>
      </c>
      <c r="F390" s="11" t="s">
        <v>1208</v>
      </c>
      <c r="G390" s="15" t="s">
        <v>1209</v>
      </c>
      <c r="H390" s="15" t="s">
        <v>1210</v>
      </c>
      <c r="I390" s="11" t="n">
        <v>3</v>
      </c>
      <c r="J390" s="11" t="s">
        <v>963</v>
      </c>
      <c r="K390" s="15" t="s">
        <v>1257</v>
      </c>
      <c r="L390" s="68" t="s">
        <v>1211</v>
      </c>
      <c r="M390" s="15" t="s">
        <v>1212</v>
      </c>
      <c r="N390" s="68" t="s">
        <v>1258</v>
      </c>
      <c r="O390" s="69" t="str">
        <f aca="false">IF(AND(LEN(TRIM($B390&amp;""))&gt;0,ISNUMBER($C390),$C390&gt;0,ISNUMBER($D390),$D390&gt;0,ISNUMBER($E390),$E390&gt;0,ABS($E390-$C390*$D390)&lt;=MAX(1,0.005*ABS($E390)),LEN(TRIM($M390&amp;""))&gt;0,TRIM($M390&amp;"")&lt;&gt;"—",LEN(TRIM($P390&amp;""))=0),"PASS","FAIL — "&amp;IF(LEN(TRIM($P390&amp;""))&gt;0,TRIM($P390&amp;""),"line ≠ qty×unit, a required cell empty, or qty/£ non-positive"))</f>
        <v>PASS</v>
      </c>
      <c r="P390" s="70"/>
      <c r="Q390" s="16" t="str">
        <f aca="false">IF(AND(LEN(TRIM(A390&amp;""))&gt;0,TRIM(A390&amp;"")&lt;&gt;"—",LEN(TRIM(B390&amp;""))&gt;0,TRIM(B390&amp;"")&lt;&gt;"—",LEN(TRIM(C390&amp;""))&gt;0,TRIM(C390&amp;"")&lt;&gt;"—",ISNUMBER(C390),LEN(TRIM(D390&amp;""))&gt;0,TRIM(D390&amp;"")&lt;&gt;"—",ISNUMBER(D390),LEN(TRIM(E390&amp;""))&gt;0,TRIM(E390&amp;"")&lt;&gt;"—",ISNUMBER(E390),LEN(TRIM(F390&amp;""))&gt;0,TRIM(F390&amp;"")&lt;&gt;"—",LEN(TRIM(I390&amp;""))&gt;0,TRIM(I390&amp;"")&lt;&gt;"—",LEN(TRIM(J390&amp;""))&gt;0,TRIM(J390&amp;"")&lt;&gt;"—",LEN(TRIM(O390&amp;""))&gt;0,TRIM(O390&amp;"")&lt;&gt;"—"),"PASS","⚠ FAIL — "&amp;"a required cell is empty/placeholder or wrong type")</f>
        <v>PASS</v>
      </c>
    </row>
    <row r="391" customFormat="false" ht="43.25" hidden="false" customHeight="false" outlineLevel="0" collapsed="false">
      <c r="A391" s="11" t="s">
        <v>1259</v>
      </c>
      <c r="B391" s="68" t="s">
        <v>1260</v>
      </c>
      <c r="C391" s="28" t="n">
        <v>1</v>
      </c>
      <c r="D391" s="36" t="n">
        <v>920</v>
      </c>
      <c r="E391" s="36" t="n">
        <v>920</v>
      </c>
      <c r="F391" s="11" t="s">
        <v>969</v>
      </c>
      <c r="G391" s="15" t="s">
        <v>1122</v>
      </c>
      <c r="H391" s="15" t="s">
        <v>1261</v>
      </c>
      <c r="I391" s="11" t="n">
        <v>3</v>
      </c>
      <c r="J391" s="11" t="s">
        <v>963</v>
      </c>
      <c r="K391" s="15" t="s">
        <v>1260</v>
      </c>
      <c r="L391" s="68" t="s">
        <v>964</v>
      </c>
      <c r="M391" s="15" t="s">
        <v>1262</v>
      </c>
      <c r="N391" s="68" t="s">
        <v>1125</v>
      </c>
      <c r="O391" s="69" t="str">
        <f aca="false">IF(AND(LEN(TRIM($B391&amp;""))&gt;0,ISNUMBER($C391),$C391&gt;0,ISNUMBER($D391),$D391&gt;0,ISNUMBER($E391),$E391&gt;0,ABS($E391-$C391*$D391)&lt;=MAX(1,0.005*ABS($E391)),LEN(TRIM($M391&amp;""))&gt;0,TRIM($M391&amp;"")&lt;&gt;"—",LEN(TRIM($P391&amp;""))=0),"PASS","FAIL — "&amp;IF(LEN(TRIM($P391&amp;""))&gt;0,TRIM($P391&amp;""),"line ≠ qty×unit, a required cell empty, or qty/£ non-positive"))</f>
        <v>PASS</v>
      </c>
      <c r="P391" s="70"/>
      <c r="Q391" s="16" t="str">
        <f aca="false">IF(AND(LEN(TRIM(A391&amp;""))&gt;0,TRIM(A391&amp;"")&lt;&gt;"—",LEN(TRIM(B391&amp;""))&gt;0,TRIM(B391&amp;"")&lt;&gt;"—",LEN(TRIM(C391&amp;""))&gt;0,TRIM(C391&amp;"")&lt;&gt;"—",ISNUMBER(C391),LEN(TRIM(D391&amp;""))&gt;0,TRIM(D391&amp;"")&lt;&gt;"—",ISNUMBER(D391),LEN(TRIM(E391&amp;""))&gt;0,TRIM(E391&amp;"")&lt;&gt;"—",ISNUMBER(E391),LEN(TRIM(F391&amp;""))&gt;0,TRIM(F391&amp;"")&lt;&gt;"—",LEN(TRIM(I391&amp;""))&gt;0,TRIM(I391&amp;"")&lt;&gt;"—",LEN(TRIM(J391&amp;""))&gt;0,TRIM(J391&amp;"")&lt;&gt;"—",LEN(TRIM(O391&amp;""))&gt;0,TRIM(O391&amp;"")&lt;&gt;"—"),"PASS","⚠ FAIL — "&amp;"a required cell is empty/placeholder or wrong type")</f>
        <v>PASS</v>
      </c>
    </row>
    <row r="392" customFormat="false" ht="43.25" hidden="false" customHeight="false" outlineLevel="0" collapsed="false">
      <c r="A392" s="11" t="s">
        <v>1263</v>
      </c>
      <c r="B392" s="68" t="s">
        <v>1264</v>
      </c>
      <c r="C392" s="28" t="n">
        <v>1</v>
      </c>
      <c r="D392" s="36" t="n">
        <v>3161</v>
      </c>
      <c r="E392" s="36" t="n">
        <v>3161</v>
      </c>
      <c r="F392" s="11" t="s">
        <v>960</v>
      </c>
      <c r="G392" s="15" t="s">
        <v>1265</v>
      </c>
      <c r="H392" s="15" t="s">
        <v>1266</v>
      </c>
      <c r="I392" s="11" t="n">
        <v>3</v>
      </c>
      <c r="J392" s="11" t="s">
        <v>963</v>
      </c>
      <c r="K392" s="15" t="s">
        <v>1264</v>
      </c>
      <c r="L392" s="68" t="s">
        <v>964</v>
      </c>
      <c r="M392" s="15" t="s">
        <v>1267</v>
      </c>
      <c r="N392" s="68" t="s">
        <v>1268</v>
      </c>
      <c r="O392" s="69" t="str">
        <f aca="false">IF(AND(LEN(TRIM($B392&amp;""))&gt;0,ISNUMBER($C392),$C392&gt;0,ISNUMBER($D392),$D392&gt;0,ISNUMBER($E392),$E392&gt;0,ABS($E392-$C392*$D392)&lt;=MAX(1,0.005*ABS($E392)),LEN(TRIM($M392&amp;""))&gt;0,TRIM($M392&amp;"")&lt;&gt;"—",LEN(TRIM($P392&amp;""))=0),"PASS","FAIL — "&amp;IF(LEN(TRIM($P392&amp;""))&gt;0,TRIM($P392&amp;""),"line ≠ qty×unit, a required cell empty, or qty/£ non-positive"))</f>
        <v>PASS</v>
      </c>
      <c r="P392" s="70"/>
      <c r="Q392" s="16" t="str">
        <f aca="false">IF(AND(LEN(TRIM(A392&amp;""))&gt;0,TRIM(A392&amp;"")&lt;&gt;"—",LEN(TRIM(B392&amp;""))&gt;0,TRIM(B392&amp;"")&lt;&gt;"—",LEN(TRIM(C392&amp;""))&gt;0,TRIM(C392&amp;"")&lt;&gt;"—",ISNUMBER(C392),LEN(TRIM(D392&amp;""))&gt;0,TRIM(D392&amp;"")&lt;&gt;"—",ISNUMBER(D392),LEN(TRIM(E392&amp;""))&gt;0,TRIM(E392&amp;"")&lt;&gt;"—",ISNUMBER(E392),LEN(TRIM(F392&amp;""))&gt;0,TRIM(F392&amp;"")&lt;&gt;"—",LEN(TRIM(I392&amp;""))&gt;0,TRIM(I392&amp;"")&lt;&gt;"—",LEN(TRIM(J392&amp;""))&gt;0,TRIM(J392&amp;"")&lt;&gt;"—",LEN(TRIM(O392&amp;""))&gt;0,TRIM(O392&amp;"")&lt;&gt;"—"),"PASS","⚠ FAIL — "&amp;"a required cell is empty/placeholder or wrong type")</f>
        <v>PASS</v>
      </c>
    </row>
    <row r="393" customFormat="false" ht="43.25" hidden="false" customHeight="false" outlineLevel="0" collapsed="false">
      <c r="A393" s="11" t="s">
        <v>1269</v>
      </c>
      <c r="B393" s="68" t="s">
        <v>1270</v>
      </c>
      <c r="C393" s="28" t="n">
        <v>1</v>
      </c>
      <c r="D393" s="36" t="n">
        <v>1594</v>
      </c>
      <c r="E393" s="36" t="n">
        <v>1594</v>
      </c>
      <c r="F393" s="11" t="s">
        <v>960</v>
      </c>
      <c r="G393" s="15" t="s">
        <v>1271</v>
      </c>
      <c r="H393" s="15" t="s">
        <v>1272</v>
      </c>
      <c r="I393" s="11" t="n">
        <v>3</v>
      </c>
      <c r="J393" s="11" t="s">
        <v>963</v>
      </c>
      <c r="K393" s="15" t="s">
        <v>1270</v>
      </c>
      <c r="L393" s="68" t="s">
        <v>964</v>
      </c>
      <c r="M393" s="15" t="s">
        <v>1273</v>
      </c>
      <c r="N393" s="68" t="s">
        <v>1274</v>
      </c>
      <c r="O393" s="69" t="str">
        <f aca="false">IF(AND(LEN(TRIM($B393&amp;""))&gt;0,ISNUMBER($C393),$C393&gt;0,ISNUMBER($D393),$D393&gt;0,ISNUMBER($E393),$E393&gt;0,ABS($E393-$C393*$D393)&lt;=MAX(1,0.005*ABS($E393)),LEN(TRIM($M393&amp;""))&gt;0,TRIM($M393&amp;"")&lt;&gt;"—",LEN(TRIM($P393&amp;""))=0),"PASS","FAIL — "&amp;IF(LEN(TRIM($P393&amp;""))&gt;0,TRIM($P393&amp;""),"line ≠ qty×unit, a required cell empty, or qty/£ non-positive"))</f>
        <v>PASS</v>
      </c>
      <c r="P393" s="70"/>
      <c r="Q393" s="16" t="str">
        <f aca="false">IF(AND(LEN(TRIM(A393&amp;""))&gt;0,TRIM(A393&amp;"")&lt;&gt;"—",LEN(TRIM(B393&amp;""))&gt;0,TRIM(B393&amp;"")&lt;&gt;"—",LEN(TRIM(C393&amp;""))&gt;0,TRIM(C393&amp;"")&lt;&gt;"—",ISNUMBER(C393),LEN(TRIM(D393&amp;""))&gt;0,TRIM(D393&amp;"")&lt;&gt;"—",ISNUMBER(D393),LEN(TRIM(E393&amp;""))&gt;0,TRIM(E393&amp;"")&lt;&gt;"—",ISNUMBER(E393),LEN(TRIM(F393&amp;""))&gt;0,TRIM(F393&amp;"")&lt;&gt;"—",LEN(TRIM(I393&amp;""))&gt;0,TRIM(I393&amp;"")&lt;&gt;"—",LEN(TRIM(J393&amp;""))&gt;0,TRIM(J393&amp;"")&lt;&gt;"—",LEN(TRIM(O393&amp;""))&gt;0,TRIM(O393&amp;"")&lt;&gt;"—"),"PASS","⚠ FAIL — "&amp;"a required cell is empty/placeholder or wrong type")</f>
        <v>PASS</v>
      </c>
    </row>
    <row r="394" customFormat="false" ht="43.25" hidden="false" customHeight="false" outlineLevel="0" collapsed="false">
      <c r="A394" s="11" t="s">
        <v>1275</v>
      </c>
      <c r="B394" s="68" t="s">
        <v>1276</v>
      </c>
      <c r="C394" s="28" t="n">
        <v>1</v>
      </c>
      <c r="D394" s="36" t="n">
        <v>447</v>
      </c>
      <c r="E394" s="36" t="n">
        <v>447</v>
      </c>
      <c r="F394" s="11" t="s">
        <v>969</v>
      </c>
      <c r="G394" s="15" t="s">
        <v>1277</v>
      </c>
      <c r="H394" s="15" t="s">
        <v>1278</v>
      </c>
      <c r="I394" s="11" t="n">
        <v>3</v>
      </c>
      <c r="J394" s="11" t="s">
        <v>963</v>
      </c>
      <c r="K394" s="15" t="s">
        <v>1276</v>
      </c>
      <c r="L394" s="68" t="s">
        <v>964</v>
      </c>
      <c r="M394" s="15" t="s">
        <v>1279</v>
      </c>
      <c r="N394" s="68" t="s">
        <v>1280</v>
      </c>
      <c r="O394" s="69" t="str">
        <f aca="false">IF(AND(LEN(TRIM($B394&amp;""))&gt;0,ISNUMBER($C394),$C394&gt;0,ISNUMBER($D394),$D394&gt;0,ISNUMBER($E394),$E394&gt;0,ABS($E394-$C394*$D394)&lt;=MAX(1,0.005*ABS($E394)),LEN(TRIM($M394&amp;""))&gt;0,TRIM($M394&amp;"")&lt;&gt;"—",LEN(TRIM($P394&amp;""))=0),"PASS","FAIL — "&amp;IF(LEN(TRIM($P394&amp;""))&gt;0,TRIM($P394&amp;""),"line ≠ qty×unit, a required cell empty, or qty/£ non-positive"))</f>
        <v>PASS</v>
      </c>
      <c r="P394" s="70"/>
      <c r="Q394" s="16" t="str">
        <f aca="false">IF(AND(LEN(TRIM(A394&amp;""))&gt;0,TRIM(A394&amp;"")&lt;&gt;"—",LEN(TRIM(B394&amp;""))&gt;0,TRIM(B394&amp;"")&lt;&gt;"—",LEN(TRIM(C394&amp;""))&gt;0,TRIM(C394&amp;"")&lt;&gt;"—",ISNUMBER(C394),LEN(TRIM(D394&amp;""))&gt;0,TRIM(D394&amp;"")&lt;&gt;"—",ISNUMBER(D394),LEN(TRIM(E394&amp;""))&gt;0,TRIM(E394&amp;"")&lt;&gt;"—",ISNUMBER(E394),LEN(TRIM(F394&amp;""))&gt;0,TRIM(F394&amp;"")&lt;&gt;"—",LEN(TRIM(I394&amp;""))&gt;0,TRIM(I394&amp;"")&lt;&gt;"—",LEN(TRIM(J394&amp;""))&gt;0,TRIM(J394&amp;"")&lt;&gt;"—",LEN(TRIM(O394&amp;""))&gt;0,TRIM(O394&amp;"")&lt;&gt;"—"),"PASS","⚠ FAIL — "&amp;"a required cell is empty/placeholder or wrong type")</f>
        <v>PASS</v>
      </c>
    </row>
    <row r="395" customFormat="false" ht="43.25" hidden="false" customHeight="false" outlineLevel="0" collapsed="false">
      <c r="A395" s="11" t="s">
        <v>1281</v>
      </c>
      <c r="B395" s="68" t="s">
        <v>1282</v>
      </c>
      <c r="C395" s="28" t="n">
        <v>1</v>
      </c>
      <c r="D395" s="36" t="n">
        <v>1316</v>
      </c>
      <c r="E395" s="36" t="n">
        <v>1316</v>
      </c>
      <c r="F395" s="11" t="s">
        <v>969</v>
      </c>
      <c r="G395" s="15" t="s">
        <v>1283</v>
      </c>
      <c r="H395" s="15" t="s">
        <v>1284</v>
      </c>
      <c r="I395" s="11" t="n">
        <v>3</v>
      </c>
      <c r="J395" s="11" t="s">
        <v>963</v>
      </c>
      <c r="K395" s="15" t="s">
        <v>1282</v>
      </c>
      <c r="L395" s="68" t="s">
        <v>964</v>
      </c>
      <c r="M395" s="15" t="s">
        <v>1285</v>
      </c>
      <c r="N395" s="68" t="s">
        <v>1286</v>
      </c>
      <c r="O395" s="69" t="str">
        <f aca="false">IF(AND(LEN(TRIM($B395&amp;""))&gt;0,ISNUMBER($C395),$C395&gt;0,ISNUMBER($D395),$D395&gt;0,ISNUMBER($E395),$E395&gt;0,ABS($E395-$C395*$D395)&lt;=MAX(1,0.005*ABS($E395)),LEN(TRIM($M395&amp;""))&gt;0,TRIM($M395&amp;"")&lt;&gt;"—",LEN(TRIM($P395&amp;""))=0),"PASS","FAIL — "&amp;IF(LEN(TRIM($P395&amp;""))&gt;0,TRIM($P395&amp;""),"line ≠ qty×unit, a required cell empty, or qty/£ non-positive"))</f>
        <v>PASS</v>
      </c>
      <c r="P395" s="70"/>
      <c r="Q395" s="16" t="str">
        <f aca="false">IF(AND(LEN(TRIM(A395&amp;""))&gt;0,TRIM(A395&amp;"")&lt;&gt;"—",LEN(TRIM(B395&amp;""))&gt;0,TRIM(B395&amp;"")&lt;&gt;"—",LEN(TRIM(C395&amp;""))&gt;0,TRIM(C395&amp;"")&lt;&gt;"—",ISNUMBER(C395),LEN(TRIM(D395&amp;""))&gt;0,TRIM(D395&amp;"")&lt;&gt;"—",ISNUMBER(D395),LEN(TRIM(E395&amp;""))&gt;0,TRIM(E395&amp;"")&lt;&gt;"—",ISNUMBER(E395),LEN(TRIM(F395&amp;""))&gt;0,TRIM(F395&amp;"")&lt;&gt;"—",LEN(TRIM(I395&amp;""))&gt;0,TRIM(I395&amp;"")&lt;&gt;"—",LEN(TRIM(J395&amp;""))&gt;0,TRIM(J395&amp;"")&lt;&gt;"—",LEN(TRIM(O395&amp;""))&gt;0,TRIM(O395&amp;"")&lt;&gt;"—"),"PASS","⚠ FAIL — "&amp;"a required cell is empty/placeholder or wrong type")</f>
        <v>PASS</v>
      </c>
    </row>
    <row r="396" customFormat="false" ht="43.25" hidden="false" customHeight="false" outlineLevel="0" collapsed="false">
      <c r="A396" s="11" t="s">
        <v>1287</v>
      </c>
      <c r="B396" s="68" t="s">
        <v>1288</v>
      </c>
      <c r="C396" s="28" t="n">
        <v>1</v>
      </c>
      <c r="D396" s="36" t="n">
        <v>1352</v>
      </c>
      <c r="E396" s="36" t="n">
        <v>1352</v>
      </c>
      <c r="F396" s="11" t="s">
        <v>969</v>
      </c>
      <c r="G396" s="15" t="s">
        <v>1289</v>
      </c>
      <c r="H396" s="15" t="s">
        <v>1290</v>
      </c>
      <c r="I396" s="11" t="n">
        <v>3</v>
      </c>
      <c r="J396" s="11" t="s">
        <v>963</v>
      </c>
      <c r="K396" s="15" t="s">
        <v>1288</v>
      </c>
      <c r="L396" s="68" t="s">
        <v>964</v>
      </c>
      <c r="M396" s="15" t="s">
        <v>1291</v>
      </c>
      <c r="N396" s="68" t="s">
        <v>1292</v>
      </c>
      <c r="O396" s="69" t="str">
        <f aca="false">IF(AND(LEN(TRIM($B396&amp;""))&gt;0,ISNUMBER($C396),$C396&gt;0,ISNUMBER($D396),$D396&gt;0,ISNUMBER($E396),$E396&gt;0,ABS($E396-$C396*$D396)&lt;=MAX(1,0.005*ABS($E396)),LEN(TRIM($M396&amp;""))&gt;0,TRIM($M396&amp;"")&lt;&gt;"—",LEN(TRIM($P396&amp;""))=0),"PASS","FAIL — "&amp;IF(LEN(TRIM($P396&amp;""))&gt;0,TRIM($P396&amp;""),"line ≠ qty×unit, a required cell empty, or qty/£ non-positive"))</f>
        <v>PASS</v>
      </c>
      <c r="P396" s="70"/>
      <c r="Q396" s="16" t="str">
        <f aca="false">IF(AND(LEN(TRIM(A396&amp;""))&gt;0,TRIM(A396&amp;"")&lt;&gt;"—",LEN(TRIM(B396&amp;""))&gt;0,TRIM(B396&amp;"")&lt;&gt;"—",LEN(TRIM(C396&amp;""))&gt;0,TRIM(C396&amp;"")&lt;&gt;"—",ISNUMBER(C396),LEN(TRIM(D396&amp;""))&gt;0,TRIM(D396&amp;"")&lt;&gt;"—",ISNUMBER(D396),LEN(TRIM(E396&amp;""))&gt;0,TRIM(E396&amp;"")&lt;&gt;"—",ISNUMBER(E396),LEN(TRIM(F396&amp;""))&gt;0,TRIM(F396&amp;"")&lt;&gt;"—",LEN(TRIM(I396&amp;""))&gt;0,TRIM(I396&amp;"")&lt;&gt;"—",LEN(TRIM(J396&amp;""))&gt;0,TRIM(J396&amp;"")&lt;&gt;"—",LEN(TRIM(O396&amp;""))&gt;0,TRIM(O396&amp;"")&lt;&gt;"—"),"PASS","⚠ FAIL — "&amp;"a required cell is empty/placeholder or wrong type")</f>
        <v>PASS</v>
      </c>
    </row>
    <row r="397" customFormat="false" ht="43.25" hidden="false" customHeight="false" outlineLevel="0" collapsed="false">
      <c r="A397" s="11" t="s">
        <v>1293</v>
      </c>
      <c r="B397" s="68" t="s">
        <v>1294</v>
      </c>
      <c r="C397" s="28" t="n">
        <v>1</v>
      </c>
      <c r="D397" s="36" t="n">
        <v>604</v>
      </c>
      <c r="E397" s="36" t="n">
        <v>604</v>
      </c>
      <c r="F397" s="11" t="s">
        <v>969</v>
      </c>
      <c r="G397" s="15" t="s">
        <v>1295</v>
      </c>
      <c r="H397" s="15" t="s">
        <v>1296</v>
      </c>
      <c r="I397" s="11" t="n">
        <v>3</v>
      </c>
      <c r="J397" s="11" t="s">
        <v>963</v>
      </c>
      <c r="K397" s="15" t="s">
        <v>1294</v>
      </c>
      <c r="L397" s="68" t="s">
        <v>964</v>
      </c>
      <c r="M397" s="15" t="s">
        <v>1297</v>
      </c>
      <c r="N397" s="68" t="s">
        <v>1298</v>
      </c>
      <c r="O397" s="69" t="str">
        <f aca="false">IF(AND(LEN(TRIM($B397&amp;""))&gt;0,ISNUMBER($C397),$C397&gt;0,ISNUMBER($D397),$D397&gt;0,ISNUMBER($E397),$E397&gt;0,ABS($E397-$C397*$D397)&lt;=MAX(1,0.005*ABS($E397)),LEN(TRIM($M397&amp;""))&gt;0,TRIM($M397&amp;"")&lt;&gt;"—",LEN(TRIM($P397&amp;""))=0),"PASS","FAIL — "&amp;IF(LEN(TRIM($P397&amp;""))&gt;0,TRIM($P397&amp;""),"line ≠ qty×unit, a required cell empty, or qty/£ non-positive"))</f>
        <v>PASS</v>
      </c>
      <c r="P397" s="70"/>
      <c r="Q397" s="16" t="str">
        <f aca="false">IF(AND(LEN(TRIM(A397&amp;""))&gt;0,TRIM(A397&amp;"")&lt;&gt;"—",LEN(TRIM(B397&amp;""))&gt;0,TRIM(B397&amp;"")&lt;&gt;"—",LEN(TRIM(C397&amp;""))&gt;0,TRIM(C397&amp;"")&lt;&gt;"—",ISNUMBER(C397),LEN(TRIM(D397&amp;""))&gt;0,TRIM(D397&amp;"")&lt;&gt;"—",ISNUMBER(D397),LEN(TRIM(E397&amp;""))&gt;0,TRIM(E397&amp;"")&lt;&gt;"—",ISNUMBER(E397),LEN(TRIM(F397&amp;""))&gt;0,TRIM(F397&amp;"")&lt;&gt;"—",LEN(TRIM(I397&amp;""))&gt;0,TRIM(I397&amp;"")&lt;&gt;"—",LEN(TRIM(J397&amp;""))&gt;0,TRIM(J397&amp;"")&lt;&gt;"—",LEN(TRIM(O397&amp;""))&gt;0,TRIM(O397&amp;"")&lt;&gt;"—"),"PASS","⚠ FAIL — "&amp;"a required cell is empty/placeholder or wrong type")</f>
        <v>PASS</v>
      </c>
    </row>
    <row r="398" customFormat="false" ht="43.25" hidden="false" customHeight="false" outlineLevel="0" collapsed="false">
      <c r="A398" s="11" t="s">
        <v>1299</v>
      </c>
      <c r="B398" s="68" t="s">
        <v>1300</v>
      </c>
      <c r="C398" s="28" t="n">
        <v>1</v>
      </c>
      <c r="D398" s="36" t="n">
        <v>23</v>
      </c>
      <c r="E398" s="36" t="n">
        <v>23</v>
      </c>
      <c r="F398" s="11" t="s">
        <v>1208</v>
      </c>
      <c r="G398" s="15" t="s">
        <v>1209</v>
      </c>
      <c r="H398" s="15" t="s">
        <v>1210</v>
      </c>
      <c r="I398" s="11" t="n">
        <v>3</v>
      </c>
      <c r="J398" s="11" t="s">
        <v>963</v>
      </c>
      <c r="K398" s="15" t="s">
        <v>1300</v>
      </c>
      <c r="L398" s="68" t="s">
        <v>1211</v>
      </c>
      <c r="M398" s="15" t="s">
        <v>1212</v>
      </c>
      <c r="N398" s="68" t="s">
        <v>1301</v>
      </c>
      <c r="O398" s="69" t="str">
        <f aca="false">IF(AND(LEN(TRIM($B398&amp;""))&gt;0,ISNUMBER($C398),$C398&gt;0,ISNUMBER($D398),$D398&gt;0,ISNUMBER($E398),$E398&gt;0,ABS($E398-$C398*$D398)&lt;=MAX(1,0.005*ABS($E398)),LEN(TRIM($M398&amp;""))&gt;0,TRIM($M398&amp;"")&lt;&gt;"—",LEN(TRIM($P398&amp;""))=0),"PASS","FAIL — "&amp;IF(LEN(TRIM($P398&amp;""))&gt;0,TRIM($P398&amp;""),"line ≠ qty×unit, a required cell empty, or qty/£ non-positive"))</f>
        <v>PASS</v>
      </c>
      <c r="P398" s="70"/>
      <c r="Q398" s="16" t="str">
        <f aca="false">IF(AND(LEN(TRIM(A398&amp;""))&gt;0,TRIM(A398&amp;"")&lt;&gt;"—",LEN(TRIM(B398&amp;""))&gt;0,TRIM(B398&amp;"")&lt;&gt;"—",LEN(TRIM(C398&amp;""))&gt;0,TRIM(C398&amp;"")&lt;&gt;"—",ISNUMBER(C398),LEN(TRIM(D398&amp;""))&gt;0,TRIM(D398&amp;"")&lt;&gt;"—",ISNUMBER(D398),LEN(TRIM(E398&amp;""))&gt;0,TRIM(E398&amp;"")&lt;&gt;"—",ISNUMBER(E398),LEN(TRIM(F398&amp;""))&gt;0,TRIM(F398&amp;"")&lt;&gt;"—",LEN(TRIM(I398&amp;""))&gt;0,TRIM(I398&amp;"")&lt;&gt;"—",LEN(TRIM(J398&amp;""))&gt;0,TRIM(J398&amp;"")&lt;&gt;"—",LEN(TRIM(O398&amp;""))&gt;0,TRIM(O398&amp;"")&lt;&gt;"—"),"PASS","⚠ FAIL — "&amp;"a required cell is empty/placeholder or wrong type")</f>
        <v>PASS</v>
      </c>
    </row>
    <row r="399" customFormat="false" ht="43.25" hidden="false" customHeight="false" outlineLevel="0" collapsed="false">
      <c r="A399" s="11" t="s">
        <v>1302</v>
      </c>
      <c r="B399" s="68" t="s">
        <v>1303</v>
      </c>
      <c r="C399" s="28" t="n">
        <v>1</v>
      </c>
      <c r="D399" s="36" t="n">
        <v>21</v>
      </c>
      <c r="E399" s="36" t="n">
        <v>21</v>
      </c>
      <c r="F399" s="11" t="s">
        <v>1208</v>
      </c>
      <c r="G399" s="15" t="s">
        <v>1209</v>
      </c>
      <c r="H399" s="15" t="s">
        <v>1210</v>
      </c>
      <c r="I399" s="11" t="n">
        <v>3</v>
      </c>
      <c r="J399" s="11" t="s">
        <v>963</v>
      </c>
      <c r="K399" s="15" t="s">
        <v>1303</v>
      </c>
      <c r="L399" s="68" t="s">
        <v>1211</v>
      </c>
      <c r="M399" s="15" t="s">
        <v>1212</v>
      </c>
      <c r="N399" s="68" t="s">
        <v>1304</v>
      </c>
      <c r="O399" s="69" t="str">
        <f aca="false">IF(AND(LEN(TRIM($B399&amp;""))&gt;0,ISNUMBER($C399),$C399&gt;0,ISNUMBER($D399),$D399&gt;0,ISNUMBER($E399),$E399&gt;0,ABS($E399-$C399*$D399)&lt;=MAX(1,0.005*ABS($E399)),LEN(TRIM($M399&amp;""))&gt;0,TRIM($M399&amp;"")&lt;&gt;"—",LEN(TRIM($P399&amp;""))=0),"PASS","FAIL — "&amp;IF(LEN(TRIM($P399&amp;""))&gt;0,TRIM($P399&amp;""),"line ≠ qty×unit, a required cell empty, or qty/£ non-positive"))</f>
        <v>PASS</v>
      </c>
      <c r="P399" s="70"/>
      <c r="Q399" s="16" t="str">
        <f aca="false">IF(AND(LEN(TRIM(A399&amp;""))&gt;0,TRIM(A399&amp;"")&lt;&gt;"—",LEN(TRIM(B399&amp;""))&gt;0,TRIM(B399&amp;"")&lt;&gt;"—",LEN(TRIM(C399&amp;""))&gt;0,TRIM(C399&amp;"")&lt;&gt;"—",ISNUMBER(C399),LEN(TRIM(D399&amp;""))&gt;0,TRIM(D399&amp;"")&lt;&gt;"—",ISNUMBER(D399),LEN(TRIM(E399&amp;""))&gt;0,TRIM(E399&amp;"")&lt;&gt;"—",ISNUMBER(E399),LEN(TRIM(F399&amp;""))&gt;0,TRIM(F399&amp;"")&lt;&gt;"—",LEN(TRIM(I399&amp;""))&gt;0,TRIM(I399&amp;"")&lt;&gt;"—",LEN(TRIM(J399&amp;""))&gt;0,TRIM(J399&amp;"")&lt;&gt;"—",LEN(TRIM(O399&amp;""))&gt;0,TRIM(O399&amp;"")&lt;&gt;"—"),"PASS","⚠ FAIL — "&amp;"a required cell is empty/placeholder or wrong type")</f>
        <v>PASS</v>
      </c>
    </row>
    <row r="400" customFormat="false" ht="43.25" hidden="false" customHeight="false" outlineLevel="0" collapsed="false">
      <c r="A400" s="11" t="s">
        <v>1305</v>
      </c>
      <c r="B400" s="68" t="s">
        <v>1306</v>
      </c>
      <c r="C400" s="28" t="n">
        <v>1</v>
      </c>
      <c r="D400" s="36" t="n">
        <v>23</v>
      </c>
      <c r="E400" s="36" t="n">
        <v>23</v>
      </c>
      <c r="F400" s="11" t="s">
        <v>1208</v>
      </c>
      <c r="G400" s="15" t="s">
        <v>1209</v>
      </c>
      <c r="H400" s="15" t="s">
        <v>1210</v>
      </c>
      <c r="I400" s="11" t="n">
        <v>3</v>
      </c>
      <c r="J400" s="11" t="s">
        <v>963</v>
      </c>
      <c r="K400" s="15" t="s">
        <v>1306</v>
      </c>
      <c r="L400" s="68" t="s">
        <v>1211</v>
      </c>
      <c r="M400" s="15" t="s">
        <v>1212</v>
      </c>
      <c r="N400" s="68" t="s">
        <v>1301</v>
      </c>
      <c r="O400" s="69" t="str">
        <f aca="false">IF(AND(LEN(TRIM($B400&amp;""))&gt;0,ISNUMBER($C400),$C400&gt;0,ISNUMBER($D400),$D400&gt;0,ISNUMBER($E400),$E400&gt;0,ABS($E400-$C400*$D400)&lt;=MAX(1,0.005*ABS($E400)),LEN(TRIM($M400&amp;""))&gt;0,TRIM($M400&amp;"")&lt;&gt;"—",LEN(TRIM($P400&amp;""))=0),"PASS","FAIL — "&amp;IF(LEN(TRIM($P400&amp;""))&gt;0,TRIM($P400&amp;""),"line ≠ qty×unit, a required cell empty, or qty/£ non-positive"))</f>
        <v>PASS</v>
      </c>
      <c r="P400" s="70"/>
      <c r="Q400" s="16" t="str">
        <f aca="false">IF(AND(LEN(TRIM(A400&amp;""))&gt;0,TRIM(A400&amp;"")&lt;&gt;"—",LEN(TRIM(B400&amp;""))&gt;0,TRIM(B400&amp;"")&lt;&gt;"—",LEN(TRIM(C400&amp;""))&gt;0,TRIM(C400&amp;"")&lt;&gt;"—",ISNUMBER(C400),LEN(TRIM(D400&amp;""))&gt;0,TRIM(D400&amp;"")&lt;&gt;"—",ISNUMBER(D400),LEN(TRIM(E400&amp;""))&gt;0,TRIM(E400&amp;"")&lt;&gt;"—",ISNUMBER(E400),LEN(TRIM(F400&amp;""))&gt;0,TRIM(F400&amp;"")&lt;&gt;"—",LEN(TRIM(I400&amp;""))&gt;0,TRIM(I400&amp;"")&lt;&gt;"—",LEN(TRIM(J400&amp;""))&gt;0,TRIM(J400&amp;"")&lt;&gt;"—",LEN(TRIM(O400&amp;""))&gt;0,TRIM(O400&amp;"")&lt;&gt;"—"),"PASS","⚠ FAIL — "&amp;"a required cell is empty/placeholder or wrong type")</f>
        <v>PASS</v>
      </c>
    </row>
    <row r="401" customFormat="false" ht="43.25" hidden="false" customHeight="false" outlineLevel="0" collapsed="false">
      <c r="A401" s="11" t="s">
        <v>1307</v>
      </c>
      <c r="B401" s="68" t="s">
        <v>1308</v>
      </c>
      <c r="C401" s="28" t="n">
        <v>1</v>
      </c>
      <c r="D401" s="36" t="n">
        <v>19</v>
      </c>
      <c r="E401" s="36" t="n">
        <v>19</v>
      </c>
      <c r="F401" s="11" t="s">
        <v>1208</v>
      </c>
      <c r="G401" s="15" t="s">
        <v>1209</v>
      </c>
      <c r="H401" s="15" t="s">
        <v>1210</v>
      </c>
      <c r="I401" s="11" t="n">
        <v>3</v>
      </c>
      <c r="J401" s="11" t="s">
        <v>963</v>
      </c>
      <c r="K401" s="15" t="s">
        <v>1308</v>
      </c>
      <c r="L401" s="68" t="s">
        <v>1211</v>
      </c>
      <c r="M401" s="15" t="s">
        <v>1212</v>
      </c>
      <c r="N401" s="68" t="s">
        <v>1309</v>
      </c>
      <c r="O401" s="69" t="str">
        <f aca="false">IF(AND(LEN(TRIM($B401&amp;""))&gt;0,ISNUMBER($C401),$C401&gt;0,ISNUMBER($D401),$D401&gt;0,ISNUMBER($E401),$E401&gt;0,ABS($E401-$C401*$D401)&lt;=MAX(1,0.005*ABS($E401)),LEN(TRIM($M401&amp;""))&gt;0,TRIM($M401&amp;"")&lt;&gt;"—",LEN(TRIM($P401&amp;""))=0),"PASS","FAIL — "&amp;IF(LEN(TRIM($P401&amp;""))&gt;0,TRIM($P401&amp;""),"line ≠ qty×unit, a required cell empty, or qty/£ non-positive"))</f>
        <v>PASS</v>
      </c>
      <c r="P401" s="70"/>
      <c r="Q401" s="16" t="str">
        <f aca="false">IF(AND(LEN(TRIM(A401&amp;""))&gt;0,TRIM(A401&amp;"")&lt;&gt;"—",LEN(TRIM(B401&amp;""))&gt;0,TRIM(B401&amp;"")&lt;&gt;"—",LEN(TRIM(C401&amp;""))&gt;0,TRIM(C401&amp;"")&lt;&gt;"—",ISNUMBER(C401),LEN(TRIM(D401&amp;""))&gt;0,TRIM(D401&amp;"")&lt;&gt;"—",ISNUMBER(D401),LEN(TRIM(E401&amp;""))&gt;0,TRIM(E401&amp;"")&lt;&gt;"—",ISNUMBER(E401),LEN(TRIM(F401&amp;""))&gt;0,TRIM(F401&amp;"")&lt;&gt;"—",LEN(TRIM(I401&amp;""))&gt;0,TRIM(I401&amp;"")&lt;&gt;"—",LEN(TRIM(J401&amp;""))&gt;0,TRIM(J401&amp;"")&lt;&gt;"—",LEN(TRIM(O401&amp;""))&gt;0,TRIM(O401&amp;"")&lt;&gt;"—"),"PASS","⚠ FAIL — "&amp;"a required cell is empty/placeholder or wrong type")</f>
        <v>PASS</v>
      </c>
    </row>
    <row r="402" customFormat="false" ht="43.25" hidden="false" customHeight="false" outlineLevel="0" collapsed="false">
      <c r="A402" s="11" t="s">
        <v>1310</v>
      </c>
      <c r="B402" s="68" t="s">
        <v>1311</v>
      </c>
      <c r="C402" s="28" t="n">
        <v>1</v>
      </c>
      <c r="D402" s="36" t="n">
        <v>22</v>
      </c>
      <c r="E402" s="36" t="n">
        <v>22</v>
      </c>
      <c r="F402" s="11" t="s">
        <v>1208</v>
      </c>
      <c r="G402" s="15" t="s">
        <v>1209</v>
      </c>
      <c r="H402" s="15" t="s">
        <v>1210</v>
      </c>
      <c r="I402" s="11" t="n">
        <v>3</v>
      </c>
      <c r="J402" s="11" t="s">
        <v>963</v>
      </c>
      <c r="K402" s="15" t="s">
        <v>1311</v>
      </c>
      <c r="L402" s="68" t="s">
        <v>1211</v>
      </c>
      <c r="M402" s="15" t="s">
        <v>1212</v>
      </c>
      <c r="N402" s="68" t="s">
        <v>1301</v>
      </c>
      <c r="O402" s="69" t="str">
        <f aca="false">IF(AND(LEN(TRIM($B402&amp;""))&gt;0,ISNUMBER($C402),$C402&gt;0,ISNUMBER($D402),$D402&gt;0,ISNUMBER($E402),$E402&gt;0,ABS($E402-$C402*$D402)&lt;=MAX(1,0.005*ABS($E402)),LEN(TRIM($M402&amp;""))&gt;0,TRIM($M402&amp;"")&lt;&gt;"—",LEN(TRIM($P402&amp;""))=0),"PASS","FAIL — "&amp;IF(LEN(TRIM($P402&amp;""))&gt;0,TRIM($P402&amp;""),"line ≠ qty×unit, a required cell empty, or qty/£ non-positive"))</f>
        <v>PASS</v>
      </c>
      <c r="P402" s="70"/>
      <c r="Q402" s="16" t="str">
        <f aca="false">IF(AND(LEN(TRIM(A402&amp;""))&gt;0,TRIM(A402&amp;"")&lt;&gt;"—",LEN(TRIM(B402&amp;""))&gt;0,TRIM(B402&amp;"")&lt;&gt;"—",LEN(TRIM(C402&amp;""))&gt;0,TRIM(C402&amp;"")&lt;&gt;"—",ISNUMBER(C402),LEN(TRIM(D402&amp;""))&gt;0,TRIM(D402&amp;"")&lt;&gt;"—",ISNUMBER(D402),LEN(TRIM(E402&amp;""))&gt;0,TRIM(E402&amp;"")&lt;&gt;"—",ISNUMBER(E402),LEN(TRIM(F402&amp;""))&gt;0,TRIM(F402&amp;"")&lt;&gt;"—",LEN(TRIM(I402&amp;""))&gt;0,TRIM(I402&amp;"")&lt;&gt;"—",LEN(TRIM(J402&amp;""))&gt;0,TRIM(J402&amp;"")&lt;&gt;"—",LEN(TRIM(O402&amp;""))&gt;0,TRIM(O402&amp;"")&lt;&gt;"—"),"PASS","⚠ FAIL — "&amp;"a required cell is empty/placeholder or wrong type")</f>
        <v>PASS</v>
      </c>
    </row>
    <row r="403" customFormat="false" ht="43.25" hidden="false" customHeight="false" outlineLevel="0" collapsed="false">
      <c r="A403" s="11" t="s">
        <v>1312</v>
      </c>
      <c r="B403" s="68" t="s">
        <v>1313</v>
      </c>
      <c r="C403" s="28" t="n">
        <v>1</v>
      </c>
      <c r="D403" s="36" t="n">
        <v>23</v>
      </c>
      <c r="E403" s="36" t="n">
        <v>23</v>
      </c>
      <c r="F403" s="11" t="s">
        <v>1208</v>
      </c>
      <c r="G403" s="15" t="s">
        <v>1209</v>
      </c>
      <c r="H403" s="15" t="s">
        <v>1210</v>
      </c>
      <c r="I403" s="11" t="n">
        <v>3</v>
      </c>
      <c r="J403" s="11" t="s">
        <v>963</v>
      </c>
      <c r="K403" s="15" t="s">
        <v>1313</v>
      </c>
      <c r="L403" s="68" t="s">
        <v>1211</v>
      </c>
      <c r="M403" s="15" t="s">
        <v>1212</v>
      </c>
      <c r="N403" s="68" t="s">
        <v>1314</v>
      </c>
      <c r="O403" s="69" t="str">
        <f aca="false">IF(AND(LEN(TRIM($B403&amp;""))&gt;0,ISNUMBER($C403),$C403&gt;0,ISNUMBER($D403),$D403&gt;0,ISNUMBER($E403),$E403&gt;0,ABS($E403-$C403*$D403)&lt;=MAX(1,0.005*ABS($E403)),LEN(TRIM($M403&amp;""))&gt;0,TRIM($M403&amp;"")&lt;&gt;"—",LEN(TRIM($P403&amp;""))=0),"PASS","FAIL — "&amp;IF(LEN(TRIM($P403&amp;""))&gt;0,TRIM($P403&amp;""),"line ≠ qty×unit, a required cell empty, or qty/£ non-positive"))</f>
        <v>PASS</v>
      </c>
      <c r="P403" s="70"/>
      <c r="Q403" s="16" t="str">
        <f aca="false">IF(AND(LEN(TRIM(A403&amp;""))&gt;0,TRIM(A403&amp;"")&lt;&gt;"—",LEN(TRIM(B403&amp;""))&gt;0,TRIM(B403&amp;"")&lt;&gt;"—",LEN(TRIM(C403&amp;""))&gt;0,TRIM(C403&amp;"")&lt;&gt;"—",ISNUMBER(C403),LEN(TRIM(D403&amp;""))&gt;0,TRIM(D403&amp;"")&lt;&gt;"—",ISNUMBER(D403),LEN(TRIM(E403&amp;""))&gt;0,TRIM(E403&amp;"")&lt;&gt;"—",ISNUMBER(E403),LEN(TRIM(F403&amp;""))&gt;0,TRIM(F403&amp;"")&lt;&gt;"—",LEN(TRIM(I403&amp;""))&gt;0,TRIM(I403&amp;"")&lt;&gt;"—",LEN(TRIM(J403&amp;""))&gt;0,TRIM(J403&amp;"")&lt;&gt;"—",LEN(TRIM(O403&amp;""))&gt;0,TRIM(O403&amp;"")&lt;&gt;"—"),"PASS","⚠ FAIL — "&amp;"a required cell is empty/placeholder or wrong type")</f>
        <v>PASS</v>
      </c>
    </row>
    <row r="404" customFormat="false" ht="43.25" hidden="false" customHeight="false" outlineLevel="0" collapsed="false">
      <c r="A404" s="11" t="s">
        <v>1315</v>
      </c>
      <c r="B404" s="68" t="s">
        <v>1316</v>
      </c>
      <c r="C404" s="28" t="n">
        <v>1</v>
      </c>
      <c r="D404" s="36" t="n">
        <v>93</v>
      </c>
      <c r="E404" s="36" t="n">
        <v>93</v>
      </c>
      <c r="F404" s="11" t="s">
        <v>1208</v>
      </c>
      <c r="G404" s="15" t="s">
        <v>1209</v>
      </c>
      <c r="H404" s="15" t="s">
        <v>1210</v>
      </c>
      <c r="I404" s="11" t="n">
        <v>3</v>
      </c>
      <c r="J404" s="11" t="s">
        <v>963</v>
      </c>
      <c r="K404" s="15" t="s">
        <v>1316</v>
      </c>
      <c r="L404" s="68" t="s">
        <v>1211</v>
      </c>
      <c r="M404" s="15" t="s">
        <v>1212</v>
      </c>
      <c r="N404" s="68" t="s">
        <v>1317</v>
      </c>
      <c r="O404" s="69" t="str">
        <f aca="false">IF(AND(LEN(TRIM($B404&amp;""))&gt;0,ISNUMBER($C404),$C404&gt;0,ISNUMBER($D404),$D404&gt;0,ISNUMBER($E404),$E404&gt;0,ABS($E404-$C404*$D404)&lt;=MAX(1,0.005*ABS($E404)),LEN(TRIM($M404&amp;""))&gt;0,TRIM($M404&amp;"")&lt;&gt;"—",LEN(TRIM($P404&amp;""))=0),"PASS","FAIL — "&amp;IF(LEN(TRIM($P404&amp;""))&gt;0,TRIM($P404&amp;""),"line ≠ qty×unit, a required cell empty, or qty/£ non-positive"))</f>
        <v>PASS</v>
      </c>
      <c r="P404" s="70"/>
      <c r="Q404" s="16" t="str">
        <f aca="false">IF(AND(LEN(TRIM(A404&amp;""))&gt;0,TRIM(A404&amp;"")&lt;&gt;"—",LEN(TRIM(B404&amp;""))&gt;0,TRIM(B404&amp;"")&lt;&gt;"—",LEN(TRIM(C404&amp;""))&gt;0,TRIM(C404&amp;"")&lt;&gt;"—",ISNUMBER(C404),LEN(TRIM(D404&amp;""))&gt;0,TRIM(D404&amp;"")&lt;&gt;"—",ISNUMBER(D404),LEN(TRIM(E404&amp;""))&gt;0,TRIM(E404&amp;"")&lt;&gt;"—",ISNUMBER(E404),LEN(TRIM(F404&amp;""))&gt;0,TRIM(F404&amp;"")&lt;&gt;"—",LEN(TRIM(I404&amp;""))&gt;0,TRIM(I404&amp;"")&lt;&gt;"—",LEN(TRIM(J404&amp;""))&gt;0,TRIM(J404&amp;"")&lt;&gt;"—",LEN(TRIM(O404&amp;""))&gt;0,TRIM(O404&amp;"")&lt;&gt;"—"),"PASS","⚠ FAIL — "&amp;"a required cell is empty/placeholder or wrong type")</f>
        <v>PASS</v>
      </c>
    </row>
    <row r="405" customFormat="false" ht="43.25" hidden="false" customHeight="false" outlineLevel="0" collapsed="false">
      <c r="A405" s="11" t="s">
        <v>1318</v>
      </c>
      <c r="B405" s="68" t="s">
        <v>1319</v>
      </c>
      <c r="C405" s="28" t="n">
        <v>1</v>
      </c>
      <c r="D405" s="36" t="n">
        <v>96</v>
      </c>
      <c r="E405" s="36" t="n">
        <v>96</v>
      </c>
      <c r="F405" s="11" t="s">
        <v>1208</v>
      </c>
      <c r="G405" s="15" t="s">
        <v>1209</v>
      </c>
      <c r="H405" s="15" t="s">
        <v>1210</v>
      </c>
      <c r="I405" s="11" t="n">
        <v>3</v>
      </c>
      <c r="J405" s="11" t="s">
        <v>963</v>
      </c>
      <c r="K405" s="15" t="s">
        <v>1319</v>
      </c>
      <c r="L405" s="68" t="s">
        <v>1211</v>
      </c>
      <c r="M405" s="15" t="s">
        <v>1212</v>
      </c>
      <c r="N405" s="68" t="s">
        <v>1246</v>
      </c>
      <c r="O405" s="69" t="str">
        <f aca="false">IF(AND(LEN(TRIM($B405&amp;""))&gt;0,ISNUMBER($C405),$C405&gt;0,ISNUMBER($D405),$D405&gt;0,ISNUMBER($E405),$E405&gt;0,ABS($E405-$C405*$D405)&lt;=MAX(1,0.005*ABS($E405)),LEN(TRIM($M405&amp;""))&gt;0,TRIM($M405&amp;"")&lt;&gt;"—",LEN(TRIM($P405&amp;""))=0),"PASS","FAIL — "&amp;IF(LEN(TRIM($P405&amp;""))&gt;0,TRIM($P405&amp;""),"line ≠ qty×unit, a required cell empty, or qty/£ non-positive"))</f>
        <v>PASS</v>
      </c>
      <c r="P405" s="70"/>
      <c r="Q405" s="16" t="str">
        <f aca="false">IF(AND(LEN(TRIM(A405&amp;""))&gt;0,TRIM(A405&amp;"")&lt;&gt;"—",LEN(TRIM(B405&amp;""))&gt;0,TRIM(B405&amp;"")&lt;&gt;"—",LEN(TRIM(C405&amp;""))&gt;0,TRIM(C405&amp;"")&lt;&gt;"—",ISNUMBER(C405),LEN(TRIM(D405&amp;""))&gt;0,TRIM(D405&amp;"")&lt;&gt;"—",ISNUMBER(D405),LEN(TRIM(E405&amp;""))&gt;0,TRIM(E405&amp;"")&lt;&gt;"—",ISNUMBER(E405),LEN(TRIM(F405&amp;""))&gt;0,TRIM(F405&amp;"")&lt;&gt;"—",LEN(TRIM(I405&amp;""))&gt;0,TRIM(I405&amp;"")&lt;&gt;"—",LEN(TRIM(J405&amp;""))&gt;0,TRIM(J405&amp;"")&lt;&gt;"—",LEN(TRIM(O405&amp;""))&gt;0,TRIM(O405&amp;"")&lt;&gt;"—"),"PASS","⚠ FAIL — "&amp;"a required cell is empty/placeholder or wrong type")</f>
        <v>PASS</v>
      </c>
    </row>
    <row r="406" customFormat="false" ht="43.25" hidden="false" customHeight="false" outlineLevel="0" collapsed="false">
      <c r="A406" s="11" t="s">
        <v>1320</v>
      </c>
      <c r="B406" s="68" t="s">
        <v>1321</v>
      </c>
      <c r="C406" s="28" t="n">
        <v>1</v>
      </c>
      <c r="D406" s="36" t="n">
        <v>96</v>
      </c>
      <c r="E406" s="36" t="n">
        <v>96</v>
      </c>
      <c r="F406" s="11" t="s">
        <v>1208</v>
      </c>
      <c r="G406" s="15" t="s">
        <v>1209</v>
      </c>
      <c r="H406" s="15" t="s">
        <v>1210</v>
      </c>
      <c r="I406" s="11" t="n">
        <v>3</v>
      </c>
      <c r="J406" s="11" t="s">
        <v>963</v>
      </c>
      <c r="K406" s="15" t="s">
        <v>1321</v>
      </c>
      <c r="L406" s="68" t="s">
        <v>1211</v>
      </c>
      <c r="M406" s="15" t="s">
        <v>1212</v>
      </c>
      <c r="N406" s="68" t="s">
        <v>1322</v>
      </c>
      <c r="O406" s="69" t="str">
        <f aca="false">IF(AND(LEN(TRIM($B406&amp;""))&gt;0,ISNUMBER($C406),$C406&gt;0,ISNUMBER($D406),$D406&gt;0,ISNUMBER($E406),$E406&gt;0,ABS($E406-$C406*$D406)&lt;=MAX(1,0.005*ABS($E406)),LEN(TRIM($M406&amp;""))&gt;0,TRIM($M406&amp;"")&lt;&gt;"—",LEN(TRIM($P406&amp;""))=0),"PASS","FAIL — "&amp;IF(LEN(TRIM($P406&amp;""))&gt;0,TRIM($P406&amp;""),"line ≠ qty×unit, a required cell empty, or qty/£ non-positive"))</f>
        <v>PASS</v>
      </c>
      <c r="P406" s="70"/>
      <c r="Q406" s="16" t="str">
        <f aca="false">IF(AND(LEN(TRIM(A406&amp;""))&gt;0,TRIM(A406&amp;"")&lt;&gt;"—",LEN(TRIM(B406&amp;""))&gt;0,TRIM(B406&amp;"")&lt;&gt;"—",LEN(TRIM(C406&amp;""))&gt;0,TRIM(C406&amp;"")&lt;&gt;"—",ISNUMBER(C406),LEN(TRIM(D406&amp;""))&gt;0,TRIM(D406&amp;"")&lt;&gt;"—",ISNUMBER(D406),LEN(TRIM(E406&amp;""))&gt;0,TRIM(E406&amp;"")&lt;&gt;"—",ISNUMBER(E406),LEN(TRIM(F406&amp;""))&gt;0,TRIM(F406&amp;"")&lt;&gt;"—",LEN(TRIM(I406&amp;""))&gt;0,TRIM(I406&amp;"")&lt;&gt;"—",LEN(TRIM(J406&amp;""))&gt;0,TRIM(J406&amp;"")&lt;&gt;"—",LEN(TRIM(O406&amp;""))&gt;0,TRIM(O406&amp;"")&lt;&gt;"—"),"PASS","⚠ FAIL — "&amp;"a required cell is empty/placeholder or wrong type")</f>
        <v>PASS</v>
      </c>
    </row>
    <row r="407" customFormat="false" ht="43.25" hidden="false" customHeight="false" outlineLevel="0" collapsed="false">
      <c r="A407" s="11" t="s">
        <v>1323</v>
      </c>
      <c r="B407" s="68" t="s">
        <v>1324</v>
      </c>
      <c r="C407" s="28" t="n">
        <v>1</v>
      </c>
      <c r="D407" s="36" t="n">
        <v>23</v>
      </c>
      <c r="E407" s="36" t="n">
        <v>23</v>
      </c>
      <c r="F407" s="11" t="s">
        <v>1208</v>
      </c>
      <c r="G407" s="15" t="s">
        <v>1209</v>
      </c>
      <c r="H407" s="15" t="s">
        <v>1210</v>
      </c>
      <c r="I407" s="11" t="n">
        <v>3</v>
      </c>
      <c r="J407" s="11" t="s">
        <v>963</v>
      </c>
      <c r="K407" s="15" t="s">
        <v>1324</v>
      </c>
      <c r="L407" s="68" t="s">
        <v>1211</v>
      </c>
      <c r="M407" s="15" t="s">
        <v>1212</v>
      </c>
      <c r="N407" s="68" t="s">
        <v>1325</v>
      </c>
      <c r="O407" s="69" t="str">
        <f aca="false">IF(AND(LEN(TRIM($B407&amp;""))&gt;0,ISNUMBER($C407),$C407&gt;0,ISNUMBER($D407),$D407&gt;0,ISNUMBER($E407),$E407&gt;0,ABS($E407-$C407*$D407)&lt;=MAX(1,0.005*ABS($E407)),LEN(TRIM($M407&amp;""))&gt;0,TRIM($M407&amp;"")&lt;&gt;"—",LEN(TRIM($P407&amp;""))=0),"PASS","FAIL — "&amp;IF(LEN(TRIM($P407&amp;""))&gt;0,TRIM($P407&amp;""),"line ≠ qty×unit, a required cell empty, or qty/£ non-positive"))</f>
        <v>PASS</v>
      </c>
      <c r="P407" s="70"/>
      <c r="Q407" s="16" t="str">
        <f aca="false">IF(AND(LEN(TRIM(A407&amp;""))&gt;0,TRIM(A407&amp;"")&lt;&gt;"—",LEN(TRIM(B407&amp;""))&gt;0,TRIM(B407&amp;"")&lt;&gt;"—",LEN(TRIM(C407&amp;""))&gt;0,TRIM(C407&amp;"")&lt;&gt;"—",ISNUMBER(C407),LEN(TRIM(D407&amp;""))&gt;0,TRIM(D407&amp;"")&lt;&gt;"—",ISNUMBER(D407),LEN(TRIM(E407&amp;""))&gt;0,TRIM(E407&amp;"")&lt;&gt;"—",ISNUMBER(E407),LEN(TRIM(F407&amp;""))&gt;0,TRIM(F407&amp;"")&lt;&gt;"—",LEN(TRIM(I407&amp;""))&gt;0,TRIM(I407&amp;"")&lt;&gt;"—",LEN(TRIM(J407&amp;""))&gt;0,TRIM(J407&amp;"")&lt;&gt;"—",LEN(TRIM(O407&amp;""))&gt;0,TRIM(O407&amp;"")&lt;&gt;"—"),"PASS","⚠ FAIL — "&amp;"a required cell is empty/placeholder or wrong type")</f>
        <v>PASS</v>
      </c>
    </row>
    <row r="408" customFormat="false" ht="158.2" hidden="false" customHeight="false" outlineLevel="0" collapsed="false">
      <c r="A408" s="11" t="str">
        <f aca="false">'Part names'!$A$102</f>
        <v>X-151</v>
      </c>
      <c r="B408" s="68" t="str">
        <f aca="false">'Part names'!$B$102 &amp; "  · DN125 PVC-U · 214 m"</f>
        <v>Zoned distribution — department delivery mains  · DN125 PVC-U · 214 m</v>
      </c>
      <c r="C408" s="28" t="n">
        <v>214</v>
      </c>
      <c r="D408" s="36" t="n">
        <v>20.8</v>
      </c>
      <c r="E408" s="36" t="n">
        <v>4451</v>
      </c>
      <c r="F408" s="11" t="s">
        <v>438</v>
      </c>
      <c r="G408" s="15" t="s">
        <v>1326</v>
      </c>
      <c r="H408" s="15" t="s">
        <v>1327</v>
      </c>
      <c r="I408" s="11"/>
      <c r="J408" s="11"/>
      <c r="K408" s="15" t="s">
        <v>1328</v>
      </c>
      <c r="L408" s="68" t="s">
        <v>1329</v>
      </c>
      <c r="M408" s="15" t="s">
        <v>1330</v>
      </c>
      <c r="N408" s="68" t="s">
        <v>1331</v>
      </c>
      <c r="O408" s="69" t="str">
        <f aca="false">IF(AND(LEN(TRIM($B408&amp;""))&gt;0,ISNUMBER($C408),$C408&gt;0,ISNUMBER($D408),$D408&gt;0,ISNUMBER($E408),$E408&gt;0,ABS($E408-$C408*$D408)&lt;=MAX(1,0.005*ABS($E408)),LEN(TRIM($M408&amp;""))&gt;0,TRIM($M408&amp;"")&lt;&gt;"—",LEN(TRIM($P408&amp;""))=0),"PASS","FAIL — "&amp;IF(LEN(TRIM($P408&amp;""))&gt;0,TRIM($P408&amp;""),"line ≠ qty×unit, a required cell empty, or qty/£ non-positive"))</f>
        <v>PASS</v>
      </c>
      <c r="P408" s="70"/>
      <c r="Q408" s="72" t="str">
        <f aca="false">IF(AND(LEN(TRIM(A408&amp;""))&gt;0,TRIM(A408&amp;"")&lt;&gt;"—",LEN(TRIM(B408&amp;""))&gt;0,TRIM(B408&amp;"")&lt;&gt;"—",LEN(TRIM(C408&amp;""))&gt;0,TRIM(C408&amp;"")&lt;&gt;"—",ISNUMBER(C408),LEN(TRIM(D408&amp;""))&gt;0,TRIM(D408&amp;"")&lt;&gt;"—",ISNUMBER(D408),LEN(TRIM(E408&amp;""))&gt;0,TRIM(E408&amp;"")&lt;&gt;"—",ISNUMBER(E408),LEN(TRIM(F408&amp;""))&gt;0,TRIM(F408&amp;"")&lt;&gt;"—",LEN(TRIM(I408&amp;""))&gt;0,TRIM(I408&amp;"")&lt;&gt;"—",LEN(TRIM(J408&amp;""))&gt;0,TRIM(J408&amp;"")&lt;&gt;"—",LEN(TRIM(O408&amp;""))&gt;0,TRIM(O408&amp;"")&lt;&gt;"—"),"PASS","⚠ FAIL — "&amp;"'Est class' empty; 'Confidence' empty")</f>
        <v>⚠ FAIL — 'Est class' empty; 'Confidence' empty</v>
      </c>
    </row>
    <row r="409" customFormat="false" ht="147.75" hidden="false" customHeight="false" outlineLevel="0" collapsed="false">
      <c r="A409" s="11" t="s">
        <v>1332</v>
      </c>
      <c r="B409" s="68" t="str">
        <f aca="false">'Part names'!$B$102 &amp; "  · DN125 PVC-U · 280 m"</f>
        <v>Zoned distribution — department delivery mains  · DN125 PVC-U · 280 m</v>
      </c>
      <c r="C409" s="28" t="n">
        <v>280</v>
      </c>
      <c r="D409" s="36" t="n">
        <v>20.8</v>
      </c>
      <c r="E409" s="36" t="n">
        <v>5824</v>
      </c>
      <c r="F409" s="11" t="s">
        <v>438</v>
      </c>
      <c r="G409" s="15" t="s">
        <v>1333</v>
      </c>
      <c r="H409" s="15" t="s">
        <v>1334</v>
      </c>
      <c r="I409" s="11"/>
      <c r="J409" s="11"/>
      <c r="K409" s="15" t="s">
        <v>1335</v>
      </c>
      <c r="L409" s="68" t="s">
        <v>1329</v>
      </c>
      <c r="M409" s="15" t="s">
        <v>1336</v>
      </c>
      <c r="N409" s="68" t="s">
        <v>1337</v>
      </c>
      <c r="O409" s="69" t="str">
        <f aca="false">IF(AND(LEN(TRIM($B409&amp;""))&gt;0,ISNUMBER($C409),$C409&gt;0,ISNUMBER($D409),$D409&gt;0,ISNUMBER($E409),$E409&gt;0,ABS($E409-$C409*$D409)&lt;=MAX(1,0.005*ABS($E409)),LEN(TRIM($M409&amp;""))&gt;0,TRIM($M409&amp;"")&lt;&gt;"—",LEN(TRIM($P409&amp;""))=0),"PASS","FAIL — "&amp;IF(LEN(TRIM($P409&amp;""))&gt;0,TRIM($P409&amp;""),"line ≠ qty×unit, a required cell empty, or qty/£ non-positive"))</f>
        <v>PASS</v>
      </c>
      <c r="P409" s="70"/>
      <c r="Q409" s="72" t="str">
        <f aca="false">IF(AND(LEN(TRIM(A409&amp;""))&gt;0,TRIM(A409&amp;"")&lt;&gt;"—",LEN(TRIM(B409&amp;""))&gt;0,TRIM(B409&amp;"")&lt;&gt;"—",LEN(TRIM(C409&amp;""))&gt;0,TRIM(C409&amp;"")&lt;&gt;"—",ISNUMBER(C409),LEN(TRIM(D409&amp;""))&gt;0,TRIM(D409&amp;"")&lt;&gt;"—",ISNUMBER(D409),LEN(TRIM(E409&amp;""))&gt;0,TRIM(E409&amp;"")&lt;&gt;"—",ISNUMBER(E409),LEN(TRIM(F409&amp;""))&gt;0,TRIM(F409&amp;"")&lt;&gt;"—",LEN(TRIM(I409&amp;""))&gt;0,TRIM(I409&amp;"")&lt;&gt;"—",LEN(TRIM(J409&amp;""))&gt;0,TRIM(J409&amp;"")&lt;&gt;"—",LEN(TRIM(O409&amp;""))&gt;0,TRIM(O409&amp;"")&lt;&gt;"—"),"PASS","⚠ FAIL — "&amp;"'Est class' empty; 'Confidence' empty")</f>
        <v>⚠ FAIL — 'Est class' empty; 'Confidence' empty</v>
      </c>
    </row>
    <row r="410" customFormat="false" ht="158.2" hidden="false" customHeight="false" outlineLevel="0" collapsed="false">
      <c r="A410" s="11" t="s">
        <v>1338</v>
      </c>
      <c r="B410" s="68" t="str">
        <f aca="false">'Part names'!$B$102 &amp; "  · DN75 PVC-U · 8,280 m"</f>
        <v>Zoned distribution — department delivery mains  · DN75 PVC-U · 8,280 m</v>
      </c>
      <c r="C410" s="28" t="n">
        <v>8280</v>
      </c>
      <c r="D410" s="36" t="n">
        <v>13.2</v>
      </c>
      <c r="E410" s="36" t="n">
        <v>109296</v>
      </c>
      <c r="F410" s="11" t="s">
        <v>438</v>
      </c>
      <c r="G410" s="15" t="s">
        <v>1339</v>
      </c>
      <c r="H410" s="15" t="s">
        <v>1340</v>
      </c>
      <c r="I410" s="11"/>
      <c r="J410" s="11"/>
      <c r="K410" s="15" t="s">
        <v>1341</v>
      </c>
      <c r="L410" s="68" t="s">
        <v>1329</v>
      </c>
      <c r="M410" s="15" t="s">
        <v>1342</v>
      </c>
      <c r="N410" s="68" t="s">
        <v>1343</v>
      </c>
      <c r="O410" s="69" t="str">
        <f aca="false">IF(AND(LEN(TRIM($B410&amp;""))&gt;0,ISNUMBER($C410),$C410&gt;0,ISNUMBER($D410),$D410&gt;0,ISNUMBER($E410),$E410&gt;0,ABS($E410-$C410*$D410)&lt;=MAX(1,0.005*ABS($E410)),LEN(TRIM($M410&amp;""))&gt;0,TRIM($M410&amp;"")&lt;&gt;"—",LEN(TRIM($P410&amp;""))=0),"PASS","FAIL — "&amp;IF(LEN(TRIM($P410&amp;""))&gt;0,TRIM($P410&amp;""),"line ≠ qty×unit, a required cell empty, or qty/£ non-positive"))</f>
        <v>PASS</v>
      </c>
      <c r="P410" s="70"/>
      <c r="Q410" s="72" t="str">
        <f aca="false">IF(AND(LEN(TRIM(A410&amp;""))&gt;0,TRIM(A410&amp;"")&lt;&gt;"—",LEN(TRIM(B410&amp;""))&gt;0,TRIM(B410&amp;"")&lt;&gt;"—",LEN(TRIM(C410&amp;""))&gt;0,TRIM(C410&amp;"")&lt;&gt;"—",ISNUMBER(C410),LEN(TRIM(D410&amp;""))&gt;0,TRIM(D410&amp;"")&lt;&gt;"—",ISNUMBER(D410),LEN(TRIM(E410&amp;""))&gt;0,TRIM(E410&amp;"")&lt;&gt;"—",ISNUMBER(E410),LEN(TRIM(F410&amp;""))&gt;0,TRIM(F410&amp;"")&lt;&gt;"—",LEN(TRIM(I410&amp;""))&gt;0,TRIM(I410&amp;"")&lt;&gt;"—",LEN(TRIM(J410&amp;""))&gt;0,TRIM(J410&amp;"")&lt;&gt;"—",LEN(TRIM(O410&amp;""))&gt;0,TRIM(O410&amp;"")&lt;&gt;"—"),"PASS","⚠ FAIL — "&amp;"'Est class' empty; 'Confidence' empty")</f>
        <v>⚠ FAIL — 'Est class' empty; 'Confidence' empty</v>
      </c>
    </row>
    <row r="411" customFormat="false" ht="147.75" hidden="false" customHeight="false" outlineLevel="0" collapsed="false">
      <c r="A411" s="11" t="s">
        <v>1344</v>
      </c>
      <c r="B411" s="68" t="str">
        <f aca="false">'Part names'!$B$102 &amp; "  · DN110 PVC-U · 4,200 m"</f>
        <v>Zoned distribution — department delivery mains  · DN110 PVC-U · 4,200 m</v>
      </c>
      <c r="C411" s="28" t="n">
        <v>4200</v>
      </c>
      <c r="D411" s="36" t="n">
        <v>20.8</v>
      </c>
      <c r="E411" s="36" t="n">
        <v>87360</v>
      </c>
      <c r="F411" s="11" t="s">
        <v>438</v>
      </c>
      <c r="G411" s="15" t="s">
        <v>1345</v>
      </c>
      <c r="H411" s="15" t="s">
        <v>1346</v>
      </c>
      <c r="I411" s="11"/>
      <c r="J411" s="11"/>
      <c r="K411" s="15" t="s">
        <v>1347</v>
      </c>
      <c r="L411" s="68" t="s">
        <v>1329</v>
      </c>
      <c r="M411" s="15" t="s">
        <v>1348</v>
      </c>
      <c r="N411" s="68" t="s">
        <v>1349</v>
      </c>
      <c r="O411" s="69" t="str">
        <f aca="false">IF(AND(LEN(TRIM($B411&amp;""))&gt;0,ISNUMBER($C411),$C411&gt;0,ISNUMBER($D411),$D411&gt;0,ISNUMBER($E411),$E411&gt;0,ABS($E411-$C411*$D411)&lt;=MAX(1,0.005*ABS($E411)),LEN(TRIM($M411&amp;""))&gt;0,TRIM($M411&amp;"")&lt;&gt;"—",LEN(TRIM($P411&amp;""))=0),"PASS","FAIL — "&amp;IF(LEN(TRIM($P411&amp;""))&gt;0,TRIM($P411&amp;""),"line ≠ qty×unit, a required cell empty, or qty/£ non-positive"))</f>
        <v>PASS</v>
      </c>
      <c r="P411" s="70"/>
      <c r="Q411" s="72" t="str">
        <f aca="false">IF(AND(LEN(TRIM(A411&amp;""))&gt;0,TRIM(A411&amp;"")&lt;&gt;"—",LEN(TRIM(B411&amp;""))&gt;0,TRIM(B411&amp;"")&lt;&gt;"—",LEN(TRIM(C411&amp;""))&gt;0,TRIM(C411&amp;"")&lt;&gt;"—",ISNUMBER(C411),LEN(TRIM(D411&amp;""))&gt;0,TRIM(D411&amp;"")&lt;&gt;"—",ISNUMBER(D411),LEN(TRIM(E411&amp;""))&gt;0,TRIM(E411&amp;"")&lt;&gt;"—",ISNUMBER(E411),LEN(TRIM(F411&amp;""))&gt;0,TRIM(F411&amp;"")&lt;&gt;"—",LEN(TRIM(I411&amp;""))&gt;0,TRIM(I411&amp;"")&lt;&gt;"—",LEN(TRIM(J411&amp;""))&gt;0,TRIM(J411&amp;"")&lt;&gt;"—",LEN(TRIM(O411&amp;""))&gt;0,TRIM(O411&amp;"")&lt;&gt;"—"),"PASS","⚠ FAIL — "&amp;"'Est class' empty; 'Confidence' empty")</f>
        <v>⚠ FAIL — 'Est class' empty; 'Confidence' empty</v>
      </c>
    </row>
    <row r="412" customFormat="false" ht="147.75" hidden="false" customHeight="false" outlineLevel="0" collapsed="false">
      <c r="A412" s="11" t="s">
        <v>1350</v>
      </c>
      <c r="B412" s="68" t="str">
        <f aca="false">'Part names'!$B$102 &amp; "  · DN110 PVC-U · 1,656 m"</f>
        <v>Zoned distribution — department delivery mains  · DN110 PVC-U · 1,656 m</v>
      </c>
      <c r="C412" s="28" t="n">
        <v>1656</v>
      </c>
      <c r="D412" s="36" t="n">
        <v>20.8</v>
      </c>
      <c r="E412" s="36" t="n">
        <v>34445</v>
      </c>
      <c r="F412" s="11" t="s">
        <v>438</v>
      </c>
      <c r="G412" s="15" t="s">
        <v>1351</v>
      </c>
      <c r="H412" s="15" t="s">
        <v>1352</v>
      </c>
      <c r="I412" s="11"/>
      <c r="J412" s="11"/>
      <c r="K412" s="15" t="s">
        <v>1353</v>
      </c>
      <c r="L412" s="68" t="s">
        <v>1329</v>
      </c>
      <c r="M412" s="15" t="s">
        <v>1354</v>
      </c>
      <c r="N412" s="68" t="s">
        <v>1355</v>
      </c>
      <c r="O412" s="69" t="str">
        <f aca="false">IF(AND(LEN(TRIM($B412&amp;""))&gt;0,ISNUMBER($C412),$C412&gt;0,ISNUMBER($D412),$D412&gt;0,ISNUMBER($E412),$E412&gt;0,ABS($E412-$C412*$D412)&lt;=MAX(1,0.005*ABS($E412)),LEN(TRIM($M412&amp;""))&gt;0,TRIM($M412&amp;"")&lt;&gt;"—",LEN(TRIM($P412&amp;""))=0),"PASS","FAIL — "&amp;IF(LEN(TRIM($P412&amp;""))&gt;0,TRIM($P412&amp;""),"line ≠ qty×unit, a required cell empty, or qty/£ non-positive"))</f>
        <v>PASS</v>
      </c>
      <c r="P412" s="70"/>
      <c r="Q412" s="72" t="str">
        <f aca="false">IF(AND(LEN(TRIM(A412&amp;""))&gt;0,TRIM(A412&amp;"")&lt;&gt;"—",LEN(TRIM(B412&amp;""))&gt;0,TRIM(B412&amp;"")&lt;&gt;"—",LEN(TRIM(C412&amp;""))&gt;0,TRIM(C412&amp;"")&lt;&gt;"—",ISNUMBER(C412),LEN(TRIM(D412&amp;""))&gt;0,TRIM(D412&amp;"")&lt;&gt;"—",ISNUMBER(D412),LEN(TRIM(E412&amp;""))&gt;0,TRIM(E412&amp;"")&lt;&gt;"—",ISNUMBER(E412),LEN(TRIM(F412&amp;""))&gt;0,TRIM(F412&amp;"")&lt;&gt;"—",LEN(TRIM(I412&amp;""))&gt;0,TRIM(I412&amp;"")&lt;&gt;"—",LEN(TRIM(J412&amp;""))&gt;0,TRIM(J412&amp;"")&lt;&gt;"—",LEN(TRIM(O412&amp;""))&gt;0,TRIM(O412&amp;"")&lt;&gt;"—"),"PASS","⚠ FAIL — "&amp;"'Est class' empty; 'Confidence' empty")</f>
        <v>⚠ FAIL — 'Est class' empty; 'Confidence' empty</v>
      </c>
    </row>
    <row r="413" customFormat="false" ht="147.75" hidden="false" customHeight="false" outlineLevel="0" collapsed="false">
      <c r="A413" s="11" t="s">
        <v>1356</v>
      </c>
      <c r="B413" s="68" t="str">
        <f aca="false">'Part names'!$B$102 &amp; "  · DN160 PVC-U · 214 m"</f>
        <v>Zoned distribution — department delivery mains  · DN160 PVC-U · 214 m</v>
      </c>
      <c r="C413" s="28" t="n">
        <v>214</v>
      </c>
      <c r="D413" s="36" t="n">
        <v>35.2</v>
      </c>
      <c r="E413" s="36" t="n">
        <v>7533</v>
      </c>
      <c r="F413" s="11" t="s">
        <v>438</v>
      </c>
      <c r="G413" s="15" t="s">
        <v>1357</v>
      </c>
      <c r="H413" s="15" t="s">
        <v>1358</v>
      </c>
      <c r="I413" s="11"/>
      <c r="J413" s="11"/>
      <c r="K413" s="15" t="s">
        <v>1359</v>
      </c>
      <c r="L413" s="68" t="s">
        <v>1329</v>
      </c>
      <c r="M413" s="15" t="s">
        <v>1360</v>
      </c>
      <c r="N413" s="68" t="s">
        <v>1361</v>
      </c>
      <c r="O413" s="69" t="str">
        <f aca="false">IF(AND(LEN(TRIM($B413&amp;""))&gt;0,ISNUMBER($C413),$C413&gt;0,ISNUMBER($D413),$D413&gt;0,ISNUMBER($E413),$E413&gt;0,ABS($E413-$C413*$D413)&lt;=MAX(1,0.005*ABS($E413)),LEN(TRIM($M413&amp;""))&gt;0,TRIM($M413&amp;"")&lt;&gt;"—",LEN(TRIM($P413&amp;""))=0),"PASS","FAIL — "&amp;IF(LEN(TRIM($P413&amp;""))&gt;0,TRIM($P413&amp;""),"line ≠ qty×unit, a required cell empty, or qty/£ non-positive"))</f>
        <v>PASS</v>
      </c>
      <c r="P413" s="70"/>
      <c r="Q413" s="72" t="str">
        <f aca="false">IF(AND(LEN(TRIM(A413&amp;""))&gt;0,TRIM(A413&amp;"")&lt;&gt;"—",LEN(TRIM(B413&amp;""))&gt;0,TRIM(B413&amp;"")&lt;&gt;"—",LEN(TRIM(C413&amp;""))&gt;0,TRIM(C413&amp;"")&lt;&gt;"—",ISNUMBER(C413),LEN(TRIM(D413&amp;""))&gt;0,TRIM(D413&amp;"")&lt;&gt;"—",ISNUMBER(D413),LEN(TRIM(E413&amp;""))&gt;0,TRIM(E413&amp;"")&lt;&gt;"—",ISNUMBER(E413),LEN(TRIM(F413&amp;""))&gt;0,TRIM(F413&amp;"")&lt;&gt;"—",LEN(TRIM(I413&amp;""))&gt;0,TRIM(I413&amp;"")&lt;&gt;"—",LEN(TRIM(J413&amp;""))&gt;0,TRIM(J413&amp;"")&lt;&gt;"—",LEN(TRIM(O413&amp;""))&gt;0,TRIM(O413&amp;"")&lt;&gt;"—"),"PASS","⚠ FAIL — "&amp;"'Est class' empty; 'Confidence' empty")</f>
        <v>⚠ FAIL — 'Est class' empty; 'Confidence' empty</v>
      </c>
    </row>
    <row r="414" customFormat="false" ht="147.75" hidden="false" customHeight="false" outlineLevel="0" collapsed="false">
      <c r="A414" s="11" t="str">
        <f aca="false">'Part names'!$A$41</f>
        <v>X-157</v>
      </c>
      <c r="B414" s="68" t="str">
        <f aca="false">'Part names'!$B$41 &amp; "  · DN90 PVC-U · 428 m"</f>
        <v>Hand watering — ring main to both departments  · DN90 PVC-U · 428 m</v>
      </c>
      <c r="C414" s="28" t="n">
        <v>428</v>
      </c>
      <c r="D414" s="36" t="n">
        <v>16.4</v>
      </c>
      <c r="E414" s="36" t="n">
        <v>7019</v>
      </c>
      <c r="F414" s="11" t="s">
        <v>438</v>
      </c>
      <c r="G414" s="15" t="s">
        <v>1362</v>
      </c>
      <c r="H414" s="15" t="s">
        <v>1363</v>
      </c>
      <c r="I414" s="11"/>
      <c r="J414" s="11"/>
      <c r="K414" s="15" t="s">
        <v>1364</v>
      </c>
      <c r="L414" s="68" t="s">
        <v>1329</v>
      </c>
      <c r="M414" s="15" t="s">
        <v>1365</v>
      </c>
      <c r="N414" s="68" t="s">
        <v>1366</v>
      </c>
      <c r="O414" s="69" t="str">
        <f aca="false">IF(AND(LEN(TRIM($B414&amp;""))&gt;0,ISNUMBER($C414),$C414&gt;0,ISNUMBER($D414),$D414&gt;0,ISNUMBER($E414),$E414&gt;0,ABS($E414-$C414*$D414)&lt;=MAX(1,0.005*ABS($E414)),LEN(TRIM($M414&amp;""))&gt;0,TRIM($M414&amp;"")&lt;&gt;"—",LEN(TRIM($P414&amp;""))=0),"PASS","FAIL — "&amp;IF(LEN(TRIM($P414&amp;""))&gt;0,TRIM($P414&amp;""),"line ≠ qty×unit, a required cell empty, or qty/£ non-positive"))</f>
        <v>PASS</v>
      </c>
      <c r="P414" s="70"/>
      <c r="Q414" s="72" t="str">
        <f aca="false">IF(AND(LEN(TRIM(A414&amp;""))&gt;0,TRIM(A414&amp;"")&lt;&gt;"—",LEN(TRIM(B414&amp;""))&gt;0,TRIM(B414&amp;"")&lt;&gt;"—",LEN(TRIM(C414&amp;""))&gt;0,TRIM(C414&amp;"")&lt;&gt;"—",ISNUMBER(C414),LEN(TRIM(D414&amp;""))&gt;0,TRIM(D414&amp;"")&lt;&gt;"—",ISNUMBER(D414),LEN(TRIM(E414&amp;""))&gt;0,TRIM(E414&amp;"")&lt;&gt;"—",ISNUMBER(E414),LEN(TRIM(F414&amp;""))&gt;0,TRIM(F414&amp;"")&lt;&gt;"—",LEN(TRIM(I414&amp;""))&gt;0,TRIM(I414&amp;"")&lt;&gt;"—",LEN(TRIM(J414&amp;""))&gt;0,TRIM(J414&amp;"")&lt;&gt;"—",LEN(TRIM(O414&amp;""))&gt;0,TRIM(O414&amp;"")&lt;&gt;"—"),"PASS","⚠ FAIL — "&amp;"'Est class' empty; 'Confidence' empty")</f>
        <v>⚠ FAIL — 'Est class' empty; 'Confidence' empty</v>
      </c>
    </row>
    <row r="415" customFormat="false" ht="53.7" hidden="false" customHeight="false" outlineLevel="0" collapsed="false">
      <c r="A415" s="11" t="s">
        <v>1367</v>
      </c>
      <c r="B415" s="68" t="str">
        <f aca="false">'Part names'!$B$102 &amp; "  · 6,000 off"</f>
        <v>Zoned distribution — department delivery mains  · 6,000 off</v>
      </c>
      <c r="C415" s="28" t="n">
        <v>6000</v>
      </c>
      <c r="D415" s="36" t="n">
        <v>6</v>
      </c>
      <c r="E415" s="36" t="n">
        <v>36000</v>
      </c>
      <c r="F415" s="11" t="s">
        <v>438</v>
      </c>
      <c r="G415" s="15" t="s">
        <v>1368</v>
      </c>
      <c r="H415" s="15" t="s">
        <v>438</v>
      </c>
      <c r="I415" s="11"/>
      <c r="J415" s="11"/>
      <c r="K415" s="15" t="s">
        <v>1369</v>
      </c>
      <c r="L415" s="68" t="s">
        <v>1329</v>
      </c>
      <c r="M415" s="15" t="s">
        <v>1370</v>
      </c>
      <c r="N415" s="68" t="s">
        <v>1371</v>
      </c>
      <c r="O415" s="69" t="str">
        <f aca="false">IF(AND(LEN(TRIM($B415&amp;""))&gt;0,ISNUMBER($C415),$C415&gt;0,ISNUMBER($D415),$D415&gt;0,ISNUMBER($E415),$E415&gt;0,ABS($E415-$C415*$D415)&lt;=MAX(1,0.005*ABS($E415)),LEN(TRIM($M415&amp;""))&gt;0,TRIM($M415&amp;"")&lt;&gt;"—",LEN(TRIM($P415&amp;""))=0),"PASS","FAIL — "&amp;IF(LEN(TRIM($P415&amp;""))&gt;0,TRIM($P415&amp;""),"line ≠ qty×unit, a required cell empty, or qty/£ non-positive"))</f>
        <v>PASS</v>
      </c>
      <c r="P415" s="70"/>
      <c r="Q415" s="72" t="str">
        <f aca="false">IF(AND(LEN(TRIM(A415&amp;""))&gt;0,TRIM(A415&amp;"")&lt;&gt;"—",LEN(TRIM(B415&amp;""))&gt;0,TRIM(B415&amp;"")&lt;&gt;"—",LEN(TRIM(C415&amp;""))&gt;0,TRIM(C415&amp;"")&lt;&gt;"—",ISNUMBER(C415),LEN(TRIM(D415&amp;""))&gt;0,TRIM(D415&amp;"")&lt;&gt;"—",ISNUMBER(D415),LEN(TRIM(E415&amp;""))&gt;0,TRIM(E415&amp;"")&lt;&gt;"—",ISNUMBER(E415),LEN(TRIM(F415&amp;""))&gt;0,TRIM(F415&amp;"")&lt;&gt;"—",LEN(TRIM(I415&amp;""))&gt;0,TRIM(I415&amp;"")&lt;&gt;"—",LEN(TRIM(J415&amp;""))&gt;0,TRIM(J415&amp;"")&lt;&gt;"—",LEN(TRIM(O415&amp;""))&gt;0,TRIM(O415&amp;"")&lt;&gt;"—"),"PASS","⚠ FAIL — "&amp;"'Est class' empty; 'Confidence' empty")</f>
        <v>⚠ FAIL — 'Est class' empty; 'Confidence' empty</v>
      </c>
    </row>
    <row r="416" customFormat="false" ht="53.7" hidden="false" customHeight="false" outlineLevel="0" collapsed="false">
      <c r="A416" s="11" t="s">
        <v>1372</v>
      </c>
      <c r="B416" s="68" t="str">
        <f aca="false">'Part names'!$B$102 &amp; "  · 3,000 off"</f>
        <v>Zoned distribution — department delivery mains  · 3,000 off</v>
      </c>
      <c r="C416" s="28" t="n">
        <v>3000</v>
      </c>
      <c r="D416" s="36" t="n">
        <v>9</v>
      </c>
      <c r="E416" s="36" t="n">
        <v>27000</v>
      </c>
      <c r="F416" s="11" t="s">
        <v>438</v>
      </c>
      <c r="G416" s="15" t="s">
        <v>1368</v>
      </c>
      <c r="H416" s="15" t="s">
        <v>438</v>
      </c>
      <c r="I416" s="11"/>
      <c r="J416" s="11"/>
      <c r="K416" s="15" t="s">
        <v>1373</v>
      </c>
      <c r="L416" s="68" t="s">
        <v>1329</v>
      </c>
      <c r="M416" s="15" t="s">
        <v>1374</v>
      </c>
      <c r="N416" s="68" t="s">
        <v>1375</v>
      </c>
      <c r="O416" s="69" t="str">
        <f aca="false">IF(AND(LEN(TRIM($B416&amp;""))&gt;0,ISNUMBER($C416),$C416&gt;0,ISNUMBER($D416),$D416&gt;0,ISNUMBER($E416),$E416&gt;0,ABS($E416-$C416*$D416)&lt;=MAX(1,0.005*ABS($E416)),LEN(TRIM($M416&amp;""))&gt;0,TRIM($M416&amp;"")&lt;&gt;"—",LEN(TRIM($P416&amp;""))=0),"PASS","FAIL — "&amp;IF(LEN(TRIM($P416&amp;""))&gt;0,TRIM($P416&amp;""),"line ≠ qty×unit, a required cell empty, or qty/£ non-positive"))</f>
        <v>PASS</v>
      </c>
      <c r="P416" s="70"/>
      <c r="Q416" s="72" t="str">
        <f aca="false">IF(AND(LEN(TRIM(A416&amp;""))&gt;0,TRIM(A416&amp;"")&lt;&gt;"—",LEN(TRIM(B416&amp;""))&gt;0,TRIM(B416&amp;"")&lt;&gt;"—",LEN(TRIM(C416&amp;""))&gt;0,TRIM(C416&amp;"")&lt;&gt;"—",ISNUMBER(C416),LEN(TRIM(D416&amp;""))&gt;0,TRIM(D416&amp;"")&lt;&gt;"—",ISNUMBER(D416),LEN(TRIM(E416&amp;""))&gt;0,TRIM(E416&amp;"")&lt;&gt;"—",ISNUMBER(E416),LEN(TRIM(F416&amp;""))&gt;0,TRIM(F416&amp;"")&lt;&gt;"—",LEN(TRIM(I416&amp;""))&gt;0,TRIM(I416&amp;"")&lt;&gt;"—",LEN(TRIM(J416&amp;""))&gt;0,TRIM(J416&amp;"")&lt;&gt;"—",LEN(TRIM(O416&amp;""))&gt;0,TRIM(O416&amp;"")&lt;&gt;"—"),"PASS","⚠ FAIL — "&amp;"'Est class' empty; 'Confidence' empty")</f>
        <v>⚠ FAIL — 'Est class' empty; 'Confidence' empty</v>
      </c>
    </row>
    <row r="417" customFormat="false" ht="74.6" hidden="false" customHeight="false" outlineLevel="0" collapsed="false">
      <c r="A417" s="11" t="s">
        <v>1376</v>
      </c>
      <c r="B417" s="68" t="str">
        <f aca="false">'Part names'!$B$102 &amp; "  · 200 off"</f>
        <v>Zoned distribution — department delivery mains  · 200 off</v>
      </c>
      <c r="C417" s="28" t="n">
        <v>200</v>
      </c>
      <c r="D417" s="36" t="n">
        <v>40</v>
      </c>
      <c r="E417" s="36" t="n">
        <v>8000</v>
      </c>
      <c r="F417" s="11" t="s">
        <v>438</v>
      </c>
      <c r="G417" s="15" t="s">
        <v>1368</v>
      </c>
      <c r="H417" s="15" t="s">
        <v>438</v>
      </c>
      <c r="I417" s="11"/>
      <c r="J417" s="11"/>
      <c r="K417" s="15" t="s">
        <v>1377</v>
      </c>
      <c r="L417" s="68" t="s">
        <v>1329</v>
      </c>
      <c r="M417" s="15" t="s">
        <v>1378</v>
      </c>
      <c r="N417" s="68" t="s">
        <v>1379</v>
      </c>
      <c r="O417" s="69" t="str">
        <f aca="false">IF(AND(LEN(TRIM($B417&amp;""))&gt;0,ISNUMBER($C417),$C417&gt;0,ISNUMBER($D417),$D417&gt;0,ISNUMBER($E417),$E417&gt;0,ABS($E417-$C417*$D417)&lt;=MAX(1,0.005*ABS($E417)),LEN(TRIM($M417&amp;""))&gt;0,TRIM($M417&amp;"")&lt;&gt;"—",LEN(TRIM($P417&amp;""))=0),"PASS","FAIL — "&amp;IF(LEN(TRIM($P417&amp;""))&gt;0,TRIM($P417&amp;""),"line ≠ qty×unit, a required cell empty, or qty/£ non-positive"))</f>
        <v>PASS</v>
      </c>
      <c r="P417" s="70"/>
      <c r="Q417" s="72" t="str">
        <f aca="false">IF(AND(LEN(TRIM(A417&amp;""))&gt;0,TRIM(A417&amp;"")&lt;&gt;"—",LEN(TRIM(B417&amp;""))&gt;0,TRIM(B417&amp;"")&lt;&gt;"—",LEN(TRIM(C417&amp;""))&gt;0,TRIM(C417&amp;"")&lt;&gt;"—",ISNUMBER(C417),LEN(TRIM(D417&amp;""))&gt;0,TRIM(D417&amp;"")&lt;&gt;"—",ISNUMBER(D417),LEN(TRIM(E417&amp;""))&gt;0,TRIM(E417&amp;"")&lt;&gt;"—",ISNUMBER(E417),LEN(TRIM(F417&amp;""))&gt;0,TRIM(F417&amp;"")&lt;&gt;"—",LEN(TRIM(I417&amp;""))&gt;0,TRIM(I417&amp;"")&lt;&gt;"—",LEN(TRIM(J417&amp;""))&gt;0,TRIM(J417&amp;"")&lt;&gt;"—",LEN(TRIM(O417&amp;""))&gt;0,TRIM(O417&amp;"")&lt;&gt;"—"),"PASS","⚠ FAIL — "&amp;"'Est class' empty; 'Confidence' empty")</f>
        <v>⚠ FAIL — 'Est class' empty; 'Confidence' empty</v>
      </c>
    </row>
    <row r="418" customFormat="false" ht="95.5" hidden="false" customHeight="false" outlineLevel="0" collapsed="false">
      <c r="A418" s="11" t="s">
        <v>1380</v>
      </c>
      <c r="B418" s="68" t="str">
        <f aca="false">'Part names'!$B$41 &amp; "  · 44 off"</f>
        <v>Hand watering — ring main to both departments  · 44 off</v>
      </c>
      <c r="C418" s="28" t="n">
        <v>44</v>
      </c>
      <c r="D418" s="36" t="n">
        <v>45</v>
      </c>
      <c r="E418" s="36" t="n">
        <v>1980</v>
      </c>
      <c r="F418" s="11" t="s">
        <v>438</v>
      </c>
      <c r="G418" s="15" t="s">
        <v>1368</v>
      </c>
      <c r="H418" s="15" t="s">
        <v>1381</v>
      </c>
      <c r="I418" s="11"/>
      <c r="J418" s="11"/>
      <c r="K418" s="15" t="s">
        <v>1382</v>
      </c>
      <c r="L418" s="68" t="s">
        <v>1329</v>
      </c>
      <c r="M418" s="15" t="s">
        <v>1383</v>
      </c>
      <c r="N418" s="68" t="s">
        <v>1384</v>
      </c>
      <c r="O418" s="69" t="str">
        <f aca="false">IF(AND(LEN(TRIM($B418&amp;""))&gt;0,ISNUMBER($C418),$C418&gt;0,ISNUMBER($D418),$D418&gt;0,ISNUMBER($E418),$E418&gt;0,ABS($E418-$C418*$D418)&lt;=MAX(1,0.005*ABS($E418)),LEN(TRIM($M418&amp;""))&gt;0,TRIM($M418&amp;"")&lt;&gt;"—",LEN(TRIM($P418&amp;""))=0),"PASS","FAIL — "&amp;IF(LEN(TRIM($P418&amp;""))&gt;0,TRIM($P418&amp;""),"line ≠ qty×unit, a required cell empty, or qty/£ non-positive"))</f>
        <v>PASS</v>
      </c>
      <c r="P418" s="70"/>
      <c r="Q418" s="72" t="str">
        <f aca="false">IF(AND(LEN(TRIM(A418&amp;""))&gt;0,TRIM(A418&amp;"")&lt;&gt;"—",LEN(TRIM(B418&amp;""))&gt;0,TRIM(B418&amp;"")&lt;&gt;"—",LEN(TRIM(C418&amp;""))&gt;0,TRIM(C418&amp;"")&lt;&gt;"—",ISNUMBER(C418),LEN(TRIM(D418&amp;""))&gt;0,TRIM(D418&amp;"")&lt;&gt;"—",ISNUMBER(D418),LEN(TRIM(E418&amp;""))&gt;0,TRIM(E418&amp;"")&lt;&gt;"—",ISNUMBER(E418),LEN(TRIM(F418&amp;""))&gt;0,TRIM(F418&amp;"")&lt;&gt;"—",LEN(TRIM(I418&amp;""))&gt;0,TRIM(I418&amp;"")&lt;&gt;"—",LEN(TRIM(J418&amp;""))&gt;0,TRIM(J418&amp;"")&lt;&gt;"—",LEN(TRIM(O418&amp;""))&gt;0,TRIM(O418&amp;"")&lt;&gt;"—"),"PASS","⚠ FAIL — "&amp;"'Est class' empty; 'Confidence' empty")</f>
        <v>⚠ FAIL — 'Est class' empty; 'Confidence' empty</v>
      </c>
    </row>
    <row r="419" customFormat="false" ht="15" hidden="false" customHeight="false" outlineLevel="0" collapsed="false">
      <c r="A419" s="17" t="s">
        <v>1385</v>
      </c>
      <c r="E419" s="39" t="n">
        <f aca="false">SUM(E5:E418)</f>
        <v>808885</v>
      </c>
    </row>
    <row r="421" customFormat="false" ht="15" hidden="false" customHeight="false" outlineLevel="0" collapsed="false">
      <c r="A421" s="8" t="s">
        <v>1386</v>
      </c>
      <c r="B421" s="8"/>
      <c r="C421" s="8"/>
      <c r="D421" s="8"/>
      <c r="E421" s="8"/>
      <c r="F421" s="8"/>
      <c r="G421" s="8"/>
      <c r="H421" s="8"/>
      <c r="I421" s="8"/>
      <c r="J421" s="8"/>
      <c r="K421" s="8"/>
      <c r="L421" s="8"/>
      <c r="M421" s="8"/>
      <c r="N421" s="8"/>
    </row>
    <row r="422" customFormat="false" ht="15" hidden="false" customHeight="false" outlineLevel="0" collapsed="false">
      <c r="A422" s="9" t="s">
        <v>1387</v>
      </c>
      <c r="B422" s="9" t="s">
        <v>1388</v>
      </c>
      <c r="C422" s="9" t="s">
        <v>1389</v>
      </c>
      <c r="D422" s="9" t="s">
        <v>1390</v>
      </c>
      <c r="E422" s="9"/>
      <c r="F422" s="9"/>
      <c r="G422" s="9"/>
      <c r="H422" s="9"/>
      <c r="I422" s="9"/>
      <c r="J422" s="9"/>
      <c r="K422" s="9"/>
      <c r="L422" s="9"/>
      <c r="M422" s="9"/>
      <c r="N422" s="9"/>
      <c r="O422" s="10" t="s">
        <v>20</v>
      </c>
    </row>
    <row r="423" customFormat="false" ht="15" hidden="false" customHeight="false" outlineLevel="0" collapsed="false">
      <c r="A423" s="11" t="s">
        <v>1391</v>
      </c>
      <c r="B423" s="11" t="n">
        <v>30</v>
      </c>
      <c r="C423" s="11" t="n">
        <v>29</v>
      </c>
      <c r="D423" s="73" t="n">
        <v>96.7</v>
      </c>
      <c r="O423" s="16" t="str">
        <f aca="false">IF(AND(LEN(TRIM(A423&amp;""))&gt;0,TRIM(A423&amp;"")&lt;&gt;"—",LEN(TRIM(B423&amp;""))&gt;0,TRIM(B423&amp;"")&lt;&gt;"—",ISNUMBER(B423),LEN(TRIM(C423&amp;""))&gt;0,TRIM(C423&amp;"")&lt;&gt;"—",ISNUMBER(C423),LEN(TRIM(D423&amp;""))&gt;0,TRIM(D423&amp;"")&lt;&gt;"—"),"PASS","⚠ FAIL — "&amp;"a required cell is empty/placeholder or wrong type")</f>
        <v>PASS</v>
      </c>
    </row>
    <row r="424" customFormat="false" ht="15" hidden="false" customHeight="false" outlineLevel="0" collapsed="false">
      <c r="A424" s="11" t="s">
        <v>1392</v>
      </c>
      <c r="B424" s="11" t="n">
        <v>30</v>
      </c>
      <c r="C424" s="11" t="n">
        <v>29</v>
      </c>
      <c r="D424" s="73" t="n">
        <v>96.7</v>
      </c>
      <c r="O424" s="16" t="str">
        <f aca="false">IF(AND(LEN(TRIM(A424&amp;""))&gt;0,TRIM(A424&amp;"")&lt;&gt;"—",LEN(TRIM(B424&amp;""))&gt;0,TRIM(B424&amp;"")&lt;&gt;"—",ISNUMBER(B424),LEN(TRIM(C424&amp;""))&gt;0,TRIM(C424&amp;"")&lt;&gt;"—",ISNUMBER(C424),LEN(TRIM(D424&amp;""))&gt;0,TRIM(D424&amp;"")&lt;&gt;"—"),"PASS","⚠ FAIL — "&amp;"a required cell is empty/placeholder or wrong type")</f>
        <v>PASS</v>
      </c>
    </row>
    <row r="425" customFormat="false" ht="15" hidden="false" customHeight="false" outlineLevel="0" collapsed="false">
      <c r="A425" s="11" t="s">
        <v>1393</v>
      </c>
      <c r="B425" s="11" t="n">
        <v>42</v>
      </c>
      <c r="C425" s="11" t="n">
        <v>38</v>
      </c>
      <c r="D425" s="73" t="n">
        <v>90.5</v>
      </c>
      <c r="O425" s="16" t="str">
        <f aca="false">IF(AND(LEN(TRIM(A425&amp;""))&gt;0,TRIM(A425&amp;"")&lt;&gt;"—",LEN(TRIM(B425&amp;""))&gt;0,TRIM(B425&amp;"")&lt;&gt;"—",ISNUMBER(B425),LEN(TRIM(C425&amp;""))&gt;0,TRIM(C425&amp;"")&lt;&gt;"—",ISNUMBER(C425),LEN(TRIM(D425&amp;""))&gt;0,TRIM(D425&amp;"")&lt;&gt;"—"),"PASS","⚠ FAIL — "&amp;"a required cell is empty/placeholder or wrong type")</f>
        <v>PASS</v>
      </c>
    </row>
    <row r="426" customFormat="false" ht="15" hidden="false" customHeight="false" outlineLevel="0" collapsed="false">
      <c r="A426" s="11" t="s">
        <v>1394</v>
      </c>
      <c r="B426" s="11" t="n">
        <v>12</v>
      </c>
      <c r="C426" s="11" t="n">
        <v>12</v>
      </c>
      <c r="D426" s="73" t="n">
        <v>100</v>
      </c>
      <c r="O426" s="16" t="str">
        <f aca="false">IF(AND(LEN(TRIM(A426&amp;""))&gt;0,TRIM(A426&amp;"")&lt;&gt;"—",LEN(TRIM(B426&amp;""))&gt;0,TRIM(B426&amp;"")&lt;&gt;"—",ISNUMBER(B426),LEN(TRIM(C426&amp;""))&gt;0,TRIM(C426&amp;"")&lt;&gt;"—",ISNUMBER(C426),LEN(TRIM(D426&amp;""))&gt;0,TRIM(D426&amp;"")&lt;&gt;"—"),"PASS","⚠ FAIL — "&amp;"a required cell is empty/placeholder or wrong type")</f>
        <v>PASS</v>
      </c>
    </row>
    <row r="427" customFormat="false" ht="15" hidden="false" customHeight="false" outlineLevel="0" collapsed="false">
      <c r="A427" s="11" t="s">
        <v>1395</v>
      </c>
      <c r="B427" s="11" t="n">
        <v>23</v>
      </c>
      <c r="C427" s="11" t="n">
        <v>20</v>
      </c>
      <c r="D427" s="74" t="n">
        <v>87</v>
      </c>
      <c r="O427" s="16" t="str">
        <f aca="false">IF(AND(LEN(TRIM(A427&amp;""))&gt;0,TRIM(A427&amp;"")&lt;&gt;"—",LEN(TRIM(B427&amp;""))&gt;0,TRIM(B427&amp;"")&lt;&gt;"—",ISNUMBER(B427),LEN(TRIM(C427&amp;""))&gt;0,TRIM(C427&amp;"")&lt;&gt;"—",ISNUMBER(C427),LEN(TRIM(D427&amp;""))&gt;0,TRIM(D427&amp;"")&lt;&gt;"—"),"PASS","⚠ FAIL — "&amp;"a required cell is empty/placeholder or wrong type")</f>
        <v>PASS</v>
      </c>
    </row>
    <row r="428" customFormat="false" ht="15" hidden="false" customHeight="false" outlineLevel="0" collapsed="false">
      <c r="A428" s="11" t="s">
        <v>1396</v>
      </c>
      <c r="B428" s="11" t="n">
        <v>18</v>
      </c>
      <c r="C428" s="11" t="n">
        <v>16</v>
      </c>
      <c r="D428" s="74" t="n">
        <v>88.9</v>
      </c>
      <c r="O428" s="16" t="str">
        <f aca="false">IF(AND(LEN(TRIM(A428&amp;""))&gt;0,TRIM(A428&amp;"")&lt;&gt;"—",LEN(TRIM(B428&amp;""))&gt;0,TRIM(B428&amp;"")&lt;&gt;"—",ISNUMBER(B428),LEN(TRIM(C428&amp;""))&gt;0,TRIM(C428&amp;"")&lt;&gt;"—",ISNUMBER(C428),LEN(TRIM(D428&amp;""))&gt;0,TRIM(D428&amp;"")&lt;&gt;"—"),"PASS","⚠ FAIL — "&amp;"a required cell is empty/placeholder or wrong type")</f>
        <v>PASS</v>
      </c>
    </row>
    <row r="429" customFormat="false" ht="15" hidden="false" customHeight="false" outlineLevel="0" collapsed="false">
      <c r="A429" s="11" t="s">
        <v>1397</v>
      </c>
      <c r="B429" s="11" t="n">
        <v>24</v>
      </c>
      <c r="C429" s="11" t="n">
        <v>18</v>
      </c>
      <c r="D429" s="74" t="n">
        <v>75</v>
      </c>
      <c r="O429" s="16" t="str">
        <f aca="false">IF(AND(LEN(TRIM(A429&amp;""))&gt;0,TRIM(A429&amp;"")&lt;&gt;"—",LEN(TRIM(B429&amp;""))&gt;0,TRIM(B429&amp;"")&lt;&gt;"—",ISNUMBER(B429),LEN(TRIM(C429&amp;""))&gt;0,TRIM(C429&amp;"")&lt;&gt;"—",ISNUMBER(C429),LEN(TRIM(D429&amp;""))&gt;0,TRIM(D429&amp;"")&lt;&gt;"—"),"PASS","⚠ FAIL — "&amp;"a required cell is empty/placeholder or wrong type")</f>
        <v>PASS</v>
      </c>
    </row>
    <row r="431" customFormat="false" ht="15" hidden="false" customHeight="false" outlineLevel="0" collapsed="false">
      <c r="A431" s="17" t="s">
        <v>1398</v>
      </c>
      <c r="E431" s="38" t="n">
        <v>808885</v>
      </c>
      <c r="F431" s="10" t="s">
        <v>1399</v>
      </c>
    </row>
  </sheetData>
  <autoFilter ref="A4:O418"/>
  <mergeCells count="4">
    <mergeCell ref="A1:O1"/>
    <mergeCell ref="A2:O2"/>
    <mergeCell ref="A3:O3"/>
    <mergeCell ref="A421:N421"/>
  </mergeCells>
  <conditionalFormatting sqref="O5:O418">
    <cfRule type="cellIs" priority="2" operator="equal" aboveAverage="0" equalAverage="0" bottom="0" percent="0" rank="0" text="" dxfId="1">
      <formula>"PASS"</formula>
    </cfRule>
  </conditionalFormatting>
  <hyperlinks>
    <hyperlink ref="P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F5597"/>
    <pageSetUpPr fitToPage="false"/>
  </sheetPr>
  <dimension ref="A1:H9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80"/>
    <col collapsed="false" customWidth="true" hidden="false" outlineLevel="0" max="2" min="2" style="0" width="4"/>
    <col collapsed="false" customWidth="true" hidden="false" outlineLevel="0" max="3" min="3" style="0" width="46"/>
    <col collapsed="false" customWidth="true" hidden="false" outlineLevel="0" max="4" min="4" style="0" width="13"/>
    <col collapsed="false" customWidth="true" hidden="false" outlineLevel="0" max="5" min="5" style="0" width="17"/>
    <col collapsed="false" customWidth="true" hidden="false" outlineLevel="0" max="6" min="6" style="0" width="14"/>
    <col collapsed="false" customWidth="true" hidden="false" outlineLevel="0" max="7" min="7" style="0" width="62"/>
  </cols>
  <sheetData>
    <row r="1" customFormat="false" ht="25.5" hidden="false" customHeight="true" outlineLevel="0" collapsed="false">
      <c r="A1" s="1" t="s">
        <v>1400</v>
      </c>
      <c r="B1" s="1"/>
      <c r="C1" s="1"/>
      <c r="D1" s="24" t="s">
        <v>140</v>
      </c>
    </row>
    <row r="2" customFormat="false" ht="30" hidden="false" customHeight="true" outlineLevel="0" collapsed="false">
      <c r="A2" s="2" t="str">
        <f aca="false">"⬤ TAB QUALITY "&amp;IF(ISNUMBER('Quality &amp; Audit'!$B$28),IF('Quality &amp; Audit'!$B$28=INT('Quality &amp; Audit'!$B$28),TEXT('Quality &amp; Audit'!$B$28,"0"),TEXT('Quality &amp; Audit'!$B$28,"0.0")),"—")&amp;"/10 · "&amp;IF(ISNUMBER('Quality &amp; Audit'!$B$28),IF('Quality &amp; Audit'!$B$28&gt;=8,"PASS","FAIL"),"UNSCORED")&amp;" (target ≥8, live from the Quality &amp; Audit score cell)"&amp;" · client-offer reconciliation (live section mapping) — client-offer reconciliation sections consistent (incl. decision-covered) 6/6; every live section rendered as a recon…"&amp;" · full audit: Quality &amp; Audit tab"</f>
        <v>⬤ TAB QUALITY 10/10 · PASS (target ≥8, live from the Quality &amp; Audit score cell) · client-offer reconciliation (live section mapping) — client-offer reconciliation sections consistent (incl. decision-covered) 6/6; every live section rendered as a recon… · full audit: Quality &amp; Audit tab</v>
      </c>
      <c r="B2" s="2"/>
      <c r="C2" s="2"/>
    </row>
    <row r="3" customFormat="false" ht="27.75" hidden="false" customHeight="true" outlineLevel="0" collapsed="false">
      <c r="A3" s="3" t="s">
        <v>1401</v>
      </c>
      <c r="B3" s="3"/>
      <c r="C3" s="3"/>
    </row>
    <row r="4" customFormat="false" ht="15" hidden="false" customHeight="false" outlineLevel="0" collapsed="false">
      <c r="A4" s="75" t="s">
        <v>1402</v>
      </c>
      <c r="C4" s="75" t="s">
        <v>1403</v>
      </c>
    </row>
    <row r="5" customFormat="false" ht="14.25" hidden="false" customHeight="true" outlineLevel="0" collapsed="false">
      <c r="A5" s="76" t="s">
        <v>1404</v>
      </c>
      <c r="C5" s="17" t="s">
        <v>1405</v>
      </c>
    </row>
    <row r="6" customFormat="false" ht="43.5" hidden="false" customHeight="true" outlineLevel="0" collapsed="false">
      <c r="A6" s="76" t="s">
        <v>1406</v>
      </c>
      <c r="C6" s="27" t="s">
        <v>1407</v>
      </c>
    </row>
    <row r="7" customFormat="false" ht="43.5" hidden="false" customHeight="true" outlineLevel="0" collapsed="false">
      <c r="A7" s="76" t="s">
        <v>1408</v>
      </c>
    </row>
    <row r="8" customFormat="false" ht="14.25" hidden="false" customHeight="true" outlineLevel="0" collapsed="false">
      <c r="A8" s="76" t="s">
        <v>1409</v>
      </c>
      <c r="C8" s="17" t="s">
        <v>1410</v>
      </c>
    </row>
    <row r="9" customFormat="false" ht="28.5" hidden="false" customHeight="true" outlineLevel="0" collapsed="false">
      <c r="A9" s="76" t="s">
        <v>1411</v>
      </c>
      <c r="C9" s="27" t="s">
        <v>1412</v>
      </c>
    </row>
    <row r="10" customFormat="false" ht="115.5" hidden="false" customHeight="true" outlineLevel="0" collapsed="false">
      <c r="A10" s="76" t="s">
        <v>1413</v>
      </c>
    </row>
    <row r="11" customFormat="false" ht="28.5" hidden="false" customHeight="true" outlineLevel="0" collapsed="false">
      <c r="A11" s="76" t="s">
        <v>1414</v>
      </c>
      <c r="C11" s="17" t="s">
        <v>1415</v>
      </c>
    </row>
    <row r="12" customFormat="false" ht="43.5" hidden="false" customHeight="true" outlineLevel="0" collapsed="false">
      <c r="A12" s="76" t="s">
        <v>1416</v>
      </c>
      <c r="C12" s="27" t="s">
        <v>1417</v>
      </c>
    </row>
    <row r="13" customFormat="false" ht="87" hidden="false" customHeight="true" outlineLevel="0" collapsed="false">
      <c r="A13" s="76" t="s">
        <v>1418</v>
      </c>
    </row>
    <row r="14" customFormat="false" ht="28.5" hidden="false" customHeight="true" outlineLevel="0" collapsed="false">
      <c r="A14" s="76" t="s">
        <v>1419</v>
      </c>
      <c r="C14" s="17" t="s">
        <v>1420</v>
      </c>
    </row>
    <row r="15" customFormat="false" ht="14.25" hidden="false" customHeight="true" outlineLevel="0" collapsed="false">
      <c r="A15" s="76" t="s">
        <v>1421</v>
      </c>
      <c r="C15" s="27" t="s">
        <v>1422</v>
      </c>
    </row>
    <row r="16" customFormat="false" ht="14.25" hidden="false" customHeight="true" outlineLevel="0" collapsed="false">
      <c r="A16" s="76" t="s">
        <v>1423</v>
      </c>
      <c r="C16" s="27" t="s">
        <v>1424</v>
      </c>
    </row>
    <row r="17" customFormat="false" ht="14.25" hidden="false" customHeight="true" outlineLevel="0" collapsed="false">
      <c r="A17" s="76" t="s">
        <v>1425</v>
      </c>
      <c r="C17" s="27" t="s">
        <v>1426</v>
      </c>
    </row>
    <row r="18" customFormat="false" ht="28.5" hidden="false" customHeight="true" outlineLevel="0" collapsed="false">
      <c r="A18" s="76" t="s">
        <v>1427</v>
      </c>
      <c r="C18" s="27" t="s">
        <v>1428</v>
      </c>
    </row>
    <row r="19" customFormat="false" ht="28.5" hidden="false" customHeight="true" outlineLevel="0" collapsed="false">
      <c r="A19" s="76" t="s">
        <v>1429</v>
      </c>
      <c r="C19" s="27" t="s">
        <v>1430</v>
      </c>
    </row>
    <row r="20" customFormat="false" ht="14.25" hidden="false" customHeight="true" outlineLevel="0" collapsed="false">
      <c r="A20" s="76" t="s">
        <v>1431</v>
      </c>
      <c r="C20" s="27" t="s">
        <v>1432</v>
      </c>
    </row>
    <row r="21" customFormat="false" ht="14.25" hidden="false" customHeight="true" outlineLevel="0" collapsed="false">
      <c r="A21" s="76" t="s">
        <v>1433</v>
      </c>
      <c r="C21" s="27" t="s">
        <v>1434</v>
      </c>
    </row>
    <row r="22" customFormat="false" ht="14.25" hidden="false" customHeight="true" outlineLevel="0" collapsed="false">
      <c r="A22" s="76" t="s">
        <v>1435</v>
      </c>
      <c r="C22" s="27" t="s">
        <v>1436</v>
      </c>
    </row>
    <row r="23" customFormat="false" ht="28.5" hidden="false" customHeight="true" outlineLevel="0" collapsed="false">
      <c r="A23" s="76" t="s">
        <v>1437</v>
      </c>
      <c r="C23" s="27" t="s">
        <v>1438</v>
      </c>
    </row>
    <row r="24" customFormat="false" ht="28.5" hidden="false" customHeight="true" outlineLevel="0" collapsed="false">
      <c r="A24" s="76" t="s">
        <v>1439</v>
      </c>
      <c r="C24" s="27" t="s">
        <v>1440</v>
      </c>
    </row>
    <row r="25" customFormat="false" ht="28.5" hidden="false" customHeight="true" outlineLevel="0" collapsed="false">
      <c r="A25" s="76" t="s">
        <v>1441</v>
      </c>
      <c r="C25" s="27" t="s">
        <v>1442</v>
      </c>
    </row>
    <row r="26" customFormat="false" ht="14.25" hidden="false" customHeight="true" outlineLevel="0" collapsed="false">
      <c r="A26" s="76" t="s">
        <v>1443</v>
      </c>
      <c r="C26" s="27" t="s">
        <v>1444</v>
      </c>
    </row>
    <row r="27" customFormat="false" ht="14.25" hidden="false" customHeight="true" outlineLevel="0" collapsed="false">
      <c r="A27" s="76" t="s">
        <v>1445</v>
      </c>
      <c r="C27" s="27" t="s">
        <v>1446</v>
      </c>
    </row>
    <row r="28" customFormat="false" ht="28.5" hidden="false" customHeight="true" outlineLevel="0" collapsed="false">
      <c r="A28" s="76" t="s">
        <v>1447</v>
      </c>
    </row>
    <row r="29" customFormat="false" ht="28.5" hidden="false" customHeight="true" outlineLevel="0" collapsed="false">
      <c r="A29" s="76" t="s">
        <v>1448</v>
      </c>
      <c r="C29" s="17" t="s">
        <v>1449</v>
      </c>
    </row>
    <row r="30" customFormat="false" ht="14.25" hidden="false" customHeight="true" outlineLevel="0" collapsed="false">
      <c r="A30" s="76" t="s">
        <v>1450</v>
      </c>
      <c r="C30" s="27" t="s">
        <v>1451</v>
      </c>
    </row>
    <row r="31" customFormat="false" ht="14.25" hidden="false" customHeight="true" outlineLevel="0" collapsed="false">
      <c r="A31" s="76" t="s">
        <v>1452</v>
      </c>
      <c r="C31" s="27" t="s">
        <v>1453</v>
      </c>
    </row>
    <row r="32" customFormat="false" ht="14.25" hidden="false" customHeight="true" outlineLevel="0" collapsed="false">
      <c r="A32" s="76" t="s">
        <v>1454</v>
      </c>
      <c r="C32" s="27" t="s">
        <v>1455</v>
      </c>
    </row>
    <row r="33" customFormat="false" ht="14.25" hidden="false" customHeight="true" outlineLevel="0" collapsed="false">
      <c r="A33" s="76" t="s">
        <v>1456</v>
      </c>
      <c r="C33" s="27" t="s">
        <v>1457</v>
      </c>
    </row>
    <row r="34" customFormat="false" ht="28.5" hidden="false" customHeight="true" outlineLevel="0" collapsed="false">
      <c r="A34" s="76" t="s">
        <v>1458</v>
      </c>
    </row>
    <row r="35" customFormat="false" ht="43.5" hidden="false" customHeight="true" outlineLevel="0" collapsed="false">
      <c r="A35" s="76" t="s">
        <v>1459</v>
      </c>
      <c r="C35" s="17" t="s">
        <v>1460</v>
      </c>
    </row>
    <row r="36" customFormat="false" ht="87" hidden="false" customHeight="true" outlineLevel="0" collapsed="false">
      <c r="A36" s="76" t="s">
        <v>1461</v>
      </c>
      <c r="C36" s="27" t="s">
        <v>1462</v>
      </c>
    </row>
    <row r="37" customFormat="false" ht="28.5" hidden="false" customHeight="true" outlineLevel="0" collapsed="false">
      <c r="A37" s="76" t="s">
        <v>1463</v>
      </c>
    </row>
    <row r="38" customFormat="false" ht="43.5" hidden="false" customHeight="true" outlineLevel="0" collapsed="false">
      <c r="A38" s="76" t="s">
        <v>1464</v>
      </c>
    </row>
    <row r="39" customFormat="false" ht="57.75" hidden="false" customHeight="true" outlineLevel="0" collapsed="false">
      <c r="A39" s="76" t="s">
        <v>1465</v>
      </c>
    </row>
    <row r="40" customFormat="false" ht="115.5" hidden="false" customHeight="true" outlineLevel="0" collapsed="false">
      <c r="A40" s="76" t="s">
        <v>1466</v>
      </c>
    </row>
    <row r="41" customFormat="false" ht="14.25" hidden="false" customHeight="true" outlineLevel="0" collapsed="false">
      <c r="A41" s="76" t="s">
        <v>1467</v>
      </c>
    </row>
    <row r="42" customFormat="false" ht="28.5" hidden="false" customHeight="true" outlineLevel="0" collapsed="false">
      <c r="A42" s="76" t="s">
        <v>1468</v>
      </c>
    </row>
    <row r="43" customFormat="false" ht="28.5" hidden="false" customHeight="true" outlineLevel="0" collapsed="false">
      <c r="A43" s="76" t="s">
        <v>1469</v>
      </c>
    </row>
    <row r="44" customFormat="false" ht="28.5" hidden="false" customHeight="true" outlineLevel="0" collapsed="false">
      <c r="A44" s="76" t="s">
        <v>1470</v>
      </c>
    </row>
    <row r="45" customFormat="false" ht="28.5" hidden="false" customHeight="true" outlineLevel="0" collapsed="false">
      <c r="A45" s="76" t="s">
        <v>1471</v>
      </c>
    </row>
    <row r="46" customFormat="false" ht="28.5" hidden="false" customHeight="true" outlineLevel="0" collapsed="false">
      <c r="A46" s="76" t="s">
        <v>1472</v>
      </c>
    </row>
    <row r="47" customFormat="false" ht="43.5" hidden="false" customHeight="true" outlineLevel="0" collapsed="false">
      <c r="A47" s="76" t="s">
        <v>1473</v>
      </c>
    </row>
    <row r="48" customFormat="false" ht="14.25" hidden="false" customHeight="true" outlineLevel="0" collapsed="false">
      <c r="A48" s="76" t="s">
        <v>1474</v>
      </c>
    </row>
    <row r="49" customFormat="false" ht="28.5" hidden="false" customHeight="true" outlineLevel="0" collapsed="false">
      <c r="A49" s="76" t="s">
        <v>1475</v>
      </c>
    </row>
    <row r="50" customFormat="false" ht="43.5" hidden="false" customHeight="true" outlineLevel="0" collapsed="false">
      <c r="A50" s="76" t="s">
        <v>1476</v>
      </c>
    </row>
    <row r="51" customFormat="false" ht="14.25" hidden="false" customHeight="true" outlineLevel="0" collapsed="false">
      <c r="A51" s="76" t="s">
        <v>1477</v>
      </c>
    </row>
    <row r="52" customFormat="false" ht="14.25" hidden="false" customHeight="true" outlineLevel="0" collapsed="false">
      <c r="A52" s="76" t="s">
        <v>1478</v>
      </c>
    </row>
    <row r="53" customFormat="false" ht="14.25" hidden="false" customHeight="true" outlineLevel="0" collapsed="false">
      <c r="A53" s="76" t="s">
        <v>1479</v>
      </c>
    </row>
    <row r="54" customFormat="false" ht="28.5" hidden="false" customHeight="true" outlineLevel="0" collapsed="false">
      <c r="A54" s="76" t="s">
        <v>1480</v>
      </c>
    </row>
    <row r="55" customFormat="false" ht="28.5" hidden="false" customHeight="true" outlineLevel="0" collapsed="false">
      <c r="A55" s="76" t="s">
        <v>1481</v>
      </c>
    </row>
    <row r="56" customFormat="false" ht="28.5" hidden="false" customHeight="true" outlineLevel="0" collapsed="false">
      <c r="A56" s="76" t="s">
        <v>1482</v>
      </c>
    </row>
    <row r="57" customFormat="false" ht="14.25" hidden="false" customHeight="true" outlineLevel="0" collapsed="false">
      <c r="A57" s="76" t="s">
        <v>1483</v>
      </c>
    </row>
    <row r="58" customFormat="false" ht="14.25" hidden="false" customHeight="true" outlineLevel="0" collapsed="false">
      <c r="A58" s="76" t="s">
        <v>1484</v>
      </c>
    </row>
    <row r="59" customFormat="false" ht="14.25" hidden="false" customHeight="true" outlineLevel="0" collapsed="false">
      <c r="A59" s="76" t="s">
        <v>1485</v>
      </c>
    </row>
    <row r="60" customFormat="false" ht="43.5" hidden="false" customHeight="true" outlineLevel="0" collapsed="false">
      <c r="A60" s="76" t="s">
        <v>1486</v>
      </c>
    </row>
    <row r="61" customFormat="false" ht="14.25" hidden="false" customHeight="true" outlineLevel="0" collapsed="false">
      <c r="A61" s="76" t="s">
        <v>1487</v>
      </c>
    </row>
    <row r="62" customFormat="false" ht="14.25" hidden="false" customHeight="true" outlineLevel="0" collapsed="false">
      <c r="A62" s="76" t="s">
        <v>1488</v>
      </c>
    </row>
    <row r="63" customFormat="false" ht="14.25" hidden="false" customHeight="true" outlineLevel="0" collapsed="false">
      <c r="A63" s="76" t="s">
        <v>1489</v>
      </c>
    </row>
    <row r="64" customFormat="false" ht="43.5" hidden="false" customHeight="true" outlineLevel="0" collapsed="false">
      <c r="A64" s="76" t="s">
        <v>1490</v>
      </c>
    </row>
    <row r="65" customFormat="false" ht="14.25" hidden="false" customHeight="true" outlineLevel="0" collapsed="false">
      <c r="A65" s="76" t="s">
        <v>1491</v>
      </c>
    </row>
    <row r="66" customFormat="false" ht="28.5" hidden="false" customHeight="true" outlineLevel="0" collapsed="false">
      <c r="A66" s="76" t="s">
        <v>1492</v>
      </c>
    </row>
    <row r="67" customFormat="false" ht="43.5" hidden="false" customHeight="true" outlineLevel="0" collapsed="false">
      <c r="A67" s="76" t="s">
        <v>1493</v>
      </c>
    </row>
    <row r="68" customFormat="false" ht="28.5" hidden="false" customHeight="true" outlineLevel="0" collapsed="false">
      <c r="A68" s="76" t="s">
        <v>1494</v>
      </c>
    </row>
    <row r="69" customFormat="false" ht="28.5" hidden="false" customHeight="true" outlineLevel="0" collapsed="false">
      <c r="A69" s="76" t="s">
        <v>1495</v>
      </c>
    </row>
    <row r="70" customFormat="false" ht="14.25" hidden="false" customHeight="true" outlineLevel="0" collapsed="false">
      <c r="A70" s="76" t="s">
        <v>1496</v>
      </c>
    </row>
    <row r="71" customFormat="false" ht="14.25" hidden="false" customHeight="true" outlineLevel="0" collapsed="false">
      <c r="A71" s="76" t="s">
        <v>1497</v>
      </c>
    </row>
    <row r="72" customFormat="false" ht="14.25" hidden="false" customHeight="true" outlineLevel="0" collapsed="false">
      <c r="A72" s="76" t="s">
        <v>1498</v>
      </c>
    </row>
    <row r="73" customFormat="false" ht="14.25" hidden="false" customHeight="true" outlineLevel="0" collapsed="false">
      <c r="A73" s="76" t="s">
        <v>1499</v>
      </c>
    </row>
    <row r="74" customFormat="false" ht="14.25" hidden="false" customHeight="true" outlineLevel="0" collapsed="false">
      <c r="A74" s="76" t="s">
        <v>1500</v>
      </c>
    </row>
    <row r="75" customFormat="false" ht="14.25" hidden="false" customHeight="true" outlineLevel="0" collapsed="false">
      <c r="A75" s="76" t="s">
        <v>1501</v>
      </c>
    </row>
    <row r="76" customFormat="false" ht="14.25" hidden="false" customHeight="true" outlineLevel="0" collapsed="false">
      <c r="A76" s="76" t="s">
        <v>1502</v>
      </c>
    </row>
    <row r="77" customFormat="false" ht="28.5" hidden="false" customHeight="true" outlineLevel="0" collapsed="false">
      <c r="A77" s="76" t="s">
        <v>1503</v>
      </c>
    </row>
    <row r="78" customFormat="false" ht="101.25" hidden="false" customHeight="true" outlineLevel="0" collapsed="false">
      <c r="A78" s="76" t="s">
        <v>1504</v>
      </c>
    </row>
    <row r="81" customFormat="false" ht="15" hidden="false" customHeight="false" outlineLevel="0" collapsed="false">
      <c r="A81" s="8" t="s">
        <v>1505</v>
      </c>
      <c r="B81" s="8"/>
      <c r="C81" s="8"/>
      <c r="D81" s="8"/>
      <c r="E81" s="8"/>
      <c r="F81" s="8"/>
      <c r="G81" s="8"/>
    </row>
    <row r="82" customFormat="false" ht="108" hidden="false" customHeight="true" outlineLevel="0" collapsed="false">
      <c r="A82" s="77" t="s">
        <v>1506</v>
      </c>
      <c r="B82" s="77"/>
      <c r="C82" s="77"/>
      <c r="D82" s="77"/>
      <c r="E82" s="77"/>
      <c r="F82" s="77"/>
      <c r="G82" s="77"/>
    </row>
    <row r="83" customFormat="false" ht="35.05" hidden="false" customHeight="false" outlineLevel="0" collapsed="false">
      <c r="A83" s="9" t="s">
        <v>1507</v>
      </c>
      <c r="B83" s="9"/>
      <c r="C83" s="9" t="s">
        <v>1508</v>
      </c>
      <c r="D83" s="9" t="s">
        <v>1509</v>
      </c>
      <c r="E83" s="9" t="s">
        <v>1510</v>
      </c>
      <c r="F83" s="9" t="s">
        <v>1511</v>
      </c>
      <c r="G83" s="9" t="s">
        <v>1512</v>
      </c>
      <c r="H83" s="10" t="s">
        <v>20</v>
      </c>
    </row>
    <row r="84" customFormat="false" ht="101.25" hidden="false" customHeight="true" outlineLevel="0" collapsed="false">
      <c r="A84" s="17" t="s">
        <v>1513</v>
      </c>
      <c r="C84" s="38" t="n">
        <v>85000</v>
      </c>
      <c r="D84" s="38" t="n">
        <v>117020</v>
      </c>
      <c r="E84" s="38" t="n">
        <v>198934</v>
      </c>
      <c r="F84" s="38" t="n">
        <v>113934</v>
      </c>
      <c r="G84" s="78" t="s">
        <v>1514</v>
      </c>
      <c r="H84" s="16" t="str">
        <f aca="false">IF(AND(LEN(TRIM(A84&amp;""))&gt;0,TRIM(A84&amp;"")&lt;&gt;"—",LEN(TRIM(C84&amp;""))&gt;0,TRIM(C84&amp;"")&lt;&gt;"—",LEN(TRIM(G84&amp;""))&gt;0,TRIM(G84&amp;"")&lt;&gt;"—"),"PASS","⚠ FAIL — "&amp;"a required cell is empty/placeholder or wrong type")</f>
        <v>PASS</v>
      </c>
    </row>
    <row r="85" customFormat="false" ht="101.25" hidden="false" customHeight="true" outlineLevel="0" collapsed="false">
      <c r="A85" s="17" t="s">
        <v>1515</v>
      </c>
      <c r="C85" s="38" t="n">
        <v>31000</v>
      </c>
      <c r="D85" s="38" t="n">
        <v>43807</v>
      </c>
      <c r="E85" s="38" t="n">
        <v>74472</v>
      </c>
      <c r="F85" s="38" t="n">
        <v>43472</v>
      </c>
      <c r="G85" s="78" t="s">
        <v>1516</v>
      </c>
      <c r="H85" s="16" t="str">
        <f aca="false">IF(AND(LEN(TRIM(A85&amp;""))&gt;0,TRIM(A85&amp;"")&lt;&gt;"—",LEN(TRIM(C85&amp;""))&gt;0,TRIM(C85&amp;"")&lt;&gt;"—",LEN(TRIM(G85&amp;""))&gt;0,TRIM(G85&amp;"")&lt;&gt;"—"),"PASS","⚠ FAIL — "&amp;"a required cell is empty/placeholder or wrong type")</f>
        <v>PASS</v>
      </c>
    </row>
    <row r="86" customFormat="false" ht="57.75" hidden="false" customHeight="true" outlineLevel="0" collapsed="false">
      <c r="A86" s="17" t="s">
        <v>1517</v>
      </c>
      <c r="C86" s="38" t="n">
        <v>92000</v>
      </c>
      <c r="D86" s="38" t="n">
        <v>41024</v>
      </c>
      <c r="E86" s="38" t="n">
        <v>69741</v>
      </c>
      <c r="F86" s="38" t="n">
        <v>-22259</v>
      </c>
      <c r="G86" s="27" t="s">
        <v>1518</v>
      </c>
      <c r="H86" s="16" t="str">
        <f aca="false">IF(AND(LEN(TRIM(A86&amp;""))&gt;0,TRIM(A86&amp;"")&lt;&gt;"—",LEN(TRIM(C86&amp;""))&gt;0,TRIM(C86&amp;"")&lt;&gt;"—",LEN(TRIM(G86&amp;""))&gt;0,TRIM(G86&amp;"")&lt;&gt;"—"),"PASS","⚠ FAIL — "&amp;"a required cell is empty/placeholder or wrong type")</f>
        <v>PASS</v>
      </c>
    </row>
    <row r="87" customFormat="false" ht="57.75" hidden="false" customHeight="true" outlineLevel="0" collapsed="false">
      <c r="A87" s="17" t="s">
        <v>1519</v>
      </c>
      <c r="C87" s="38" t="n">
        <v>895000</v>
      </c>
      <c r="D87" s="38" t="n">
        <v>436757</v>
      </c>
      <c r="E87" s="38" t="n">
        <v>742487</v>
      </c>
      <c r="F87" s="38" t="n">
        <v>-152513</v>
      </c>
      <c r="G87" s="27" t="s">
        <v>1520</v>
      </c>
      <c r="H87" s="16" t="str">
        <f aca="false">IF(AND(LEN(TRIM(A87&amp;""))&gt;0,TRIM(A87&amp;"")&lt;&gt;"—",LEN(TRIM(C87&amp;""))&gt;0,TRIM(C87&amp;"")&lt;&gt;"—",LEN(TRIM(G87&amp;""))&gt;0,TRIM(G87&amp;"")&lt;&gt;"—"),"PASS","⚠ FAIL — "&amp;"a required cell is empty/placeholder or wrong type")</f>
        <v>PASS</v>
      </c>
    </row>
    <row r="88" customFormat="false" ht="43.5" hidden="false" customHeight="true" outlineLevel="0" collapsed="false">
      <c r="A88" s="17" t="s">
        <v>1521</v>
      </c>
      <c r="C88" s="38" t="n">
        <v>24000</v>
      </c>
      <c r="D88" s="38" t="n">
        <v>11499</v>
      </c>
      <c r="E88" s="38" t="n">
        <v>19548</v>
      </c>
      <c r="F88" s="38" t="n">
        <v>-4452</v>
      </c>
      <c r="G88" s="27" t="s">
        <v>1522</v>
      </c>
      <c r="H88" s="16" t="str">
        <f aca="false">IF(AND(LEN(TRIM(A88&amp;""))&gt;0,TRIM(A88&amp;"")&lt;&gt;"—",LEN(TRIM(C88&amp;""))&gt;0,TRIM(C88&amp;"")&lt;&gt;"—",LEN(TRIM(G88&amp;""))&gt;0,TRIM(G88&amp;"")&lt;&gt;"—"),"PASS","⚠ FAIL — "&amp;"a required cell is empty/placeholder or wrong type")</f>
        <v>PASS</v>
      </c>
    </row>
    <row r="89" customFormat="false" ht="101.25" hidden="false" customHeight="true" outlineLevel="0" collapsed="false">
      <c r="A89" s="17" t="s">
        <v>1523</v>
      </c>
      <c r="C89" s="38" t="n">
        <v>128000</v>
      </c>
      <c r="D89" s="38" t="n">
        <v>121391</v>
      </c>
      <c r="E89" s="38" t="n">
        <v>206365</v>
      </c>
      <c r="F89" s="38" t="n">
        <v>78365</v>
      </c>
      <c r="G89" s="78" t="s">
        <v>1524</v>
      </c>
      <c r="H89" s="16" t="str">
        <f aca="false">IF(AND(LEN(TRIM(A89&amp;""))&gt;0,TRIM(A89&amp;"")&lt;&gt;"—",LEN(TRIM(C89&amp;""))&gt;0,TRIM(C89&amp;"")&lt;&gt;"—",LEN(TRIM(G89&amp;""))&gt;0,TRIM(G89&amp;"")&lt;&gt;"—"),"PASS","⚠ FAIL — "&amp;"a required cell is empty/placeholder or wrong type")</f>
        <v>PASS</v>
      </c>
    </row>
    <row r="90" customFormat="false" ht="72" hidden="false" customHeight="true" outlineLevel="0" collapsed="false">
      <c r="A90" s="10" t="s">
        <v>1525</v>
      </c>
      <c r="D90" s="38" t="n">
        <v>37387</v>
      </c>
      <c r="G90" s="27" t="s">
        <v>1526</v>
      </c>
      <c r="H90" s="16" t="str">
        <f aca="false">IF(AND(LEN(TRIM(A90&amp;""))&gt;0,TRIM(A90&amp;"")&lt;&gt;"—",LEN(TRIM(G90&amp;""))&gt;0,TRIM(G90&amp;"")&lt;&gt;"—"),"PASS","⚠ FAIL — "&amp;"a required cell is empty/placeholder or wrong type")</f>
        <v>PASS</v>
      </c>
    </row>
    <row r="91" customFormat="false" ht="15" hidden="false" customHeight="false" outlineLevel="0" collapsed="false">
      <c r="A91" s="43" t="s">
        <v>1527</v>
      </c>
      <c r="C91" s="79" t="n">
        <v>1250000</v>
      </c>
      <c r="D91" s="79" t="n">
        <v>808885</v>
      </c>
      <c r="E91" s="79" t="n">
        <v>1375105</v>
      </c>
      <c r="F91" s="79" t="n">
        <v>125105</v>
      </c>
      <c r="G91" s="10" t="s">
        <v>1528</v>
      </c>
    </row>
  </sheetData>
  <mergeCells count="5">
    <mergeCell ref="A1:C1"/>
    <mergeCell ref="A2:C2"/>
    <mergeCell ref="A3:C3"/>
    <mergeCell ref="A81:G81"/>
    <mergeCell ref="A82:G82"/>
  </mergeCells>
  <hyperlinks>
    <hyperlink ref="D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F5597"/>
    <pageSetUpPr fitToPage="false"/>
  </sheetPr>
  <dimension ref="A1:F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24"/>
    <col collapsed="false" customWidth="true" hidden="false" outlineLevel="0" max="2" min="2" style="0" width="52"/>
    <col collapsed="false" customWidth="true" hidden="false" outlineLevel="0" max="3" min="3" style="0" width="22"/>
    <col collapsed="false" customWidth="true" hidden="false" outlineLevel="0" max="4" min="4" style="0" width="10"/>
    <col collapsed="false" customWidth="true" hidden="false" outlineLevel="0" max="5" min="5" style="0" width="66"/>
    <col collapsed="false" customWidth="true" hidden="false" outlineLevel="0" max="6" min="6" style="0" width="13"/>
  </cols>
  <sheetData>
    <row r="1" customFormat="false" ht="25.5" hidden="false" customHeight="true" outlineLevel="0" collapsed="false">
      <c r="A1" s="1" t="s">
        <v>1529</v>
      </c>
      <c r="B1" s="1"/>
      <c r="C1" s="1"/>
      <c r="D1" s="1"/>
      <c r="E1" s="1"/>
      <c r="F1" s="24" t="s">
        <v>140</v>
      </c>
    </row>
    <row r="2" customFormat="false" ht="30" hidden="false" customHeight="true" outlineLevel="0" collapsed="false">
      <c r="A2" s="2" t="str">
        <f aca="false">"⬤ TAB QUALITY "&amp;IF(ISNUMBER('Quality &amp; Audit'!$B$42),IF('Quality &amp; Audit'!$B$42=INT('Quality &amp; Audit'!$B$42),TEXT('Quality &amp; Audit'!$B$42,"0"),TEXT('Quality &amp; Audit'!$B$42,"0.0")),"—")&amp;"/10 · "&amp;IF(ISNUMBER('Quality &amp; Audit'!$B$42),IF('Quality &amp; Audit'!$B$42&gt;=8,"PASS","FAIL"),"UNSCORED")&amp;" (target ≥8, live from the Quality &amp; Audit score cell)"&amp;" · arithmetic: min(8, 10 × 26/26 complete rows); content checks: design-basis completeness arithmetic — cell completeness+type contract 104/104 · score = min over checks of…"&amp;" · full audit: Quality &amp; Audit tab"</f>
        <v>⬤ TAB QUALITY 8/10 · PASS (target ≥8, live from the Quality &amp; Audit score cell) · arithmetic: min(8, 10 × 26/26 complete rows); content checks: design-basis completeness arithmetic — cell completeness+type contract 104/104 · score = min over checks of… · full audit: Quality &amp; Audit tab</v>
      </c>
      <c r="B2" s="2"/>
      <c r="C2" s="2"/>
      <c r="D2" s="2"/>
      <c r="E2" s="2"/>
    </row>
    <row r="3" customFormat="false" ht="54" hidden="false" customHeight="true" outlineLevel="0" collapsed="false">
      <c r="A3" s="3" t="s">
        <v>1530</v>
      </c>
      <c r="B3" s="3"/>
      <c r="C3" s="3"/>
      <c r="D3" s="3"/>
      <c r="E3" s="3"/>
    </row>
    <row r="4" customFormat="false" ht="15" hidden="false" customHeight="false" outlineLevel="0" collapsed="false">
      <c r="A4" s="9" t="s">
        <v>1531</v>
      </c>
      <c r="B4" s="9" t="s">
        <v>254</v>
      </c>
      <c r="C4" s="9" t="s">
        <v>160</v>
      </c>
      <c r="D4" s="9" t="s">
        <v>15</v>
      </c>
      <c r="E4" s="9" t="s">
        <v>1532</v>
      </c>
      <c r="F4" s="10" t="s">
        <v>20</v>
      </c>
    </row>
    <row r="5" customFormat="false" ht="15" hidden="false" customHeight="false" outlineLevel="0" collapsed="false">
      <c r="A5" s="8" t="s">
        <v>1533</v>
      </c>
      <c r="B5" s="8"/>
      <c r="C5" s="8"/>
      <c r="D5" s="8"/>
      <c r="E5" s="8"/>
    </row>
    <row r="6" customFormat="false" ht="27" hidden="false" customHeight="true" outlineLevel="0" collapsed="false">
      <c r="A6" s="10" t="s">
        <v>1533</v>
      </c>
      <c r="B6" s="68" t="s">
        <v>1534</v>
      </c>
      <c r="C6" s="80" t="n">
        <v>1.5</v>
      </c>
      <c r="D6" s="11" t="s">
        <v>1535</v>
      </c>
      <c r="E6" s="15" t="s">
        <v>1536</v>
      </c>
      <c r="F6" s="16" t="str">
        <f aca="false">IF(AND(LEN(TRIM(A6&amp;""))&gt;0,TRIM(A6&amp;"")&lt;&gt;"—",LEN(TRIM(B6&amp;""))&gt;0,TRIM(B6&amp;"")&lt;&gt;"—",LEN(TRIM(C6&amp;""))&gt;0,TRIM(C6&amp;"")&lt;&gt;"—",LEN(TRIM(E6&amp;""))&gt;0,TRIM(E6&amp;"")&lt;&gt;"—"),"PASS","⚠ FAIL — "&amp;"a required cell is empty/placeholder or wrong type")</f>
        <v>PASS</v>
      </c>
    </row>
    <row r="7" customFormat="false" ht="15" hidden="false" customHeight="false" outlineLevel="0" collapsed="false">
      <c r="A7" s="10" t="s">
        <v>1533</v>
      </c>
      <c r="B7" s="68" t="s">
        <v>1537</v>
      </c>
      <c r="C7" s="80" t="n">
        <v>18</v>
      </c>
      <c r="D7" s="11" t="s">
        <v>1535</v>
      </c>
      <c r="E7" s="15" t="s">
        <v>1538</v>
      </c>
      <c r="F7" s="16" t="str">
        <f aca="false">IF(AND(LEN(TRIM(A7&amp;""))&gt;0,TRIM(A7&amp;"")&lt;&gt;"—",LEN(TRIM(B7&amp;""))&gt;0,TRIM(B7&amp;"")&lt;&gt;"—",LEN(TRIM(C7&amp;""))&gt;0,TRIM(C7&amp;"")&lt;&gt;"—",LEN(TRIM(E7&amp;""))&gt;0,TRIM(E7&amp;"")&lt;&gt;"—"),"PASS","⚠ FAIL — "&amp;"a required cell is empty/placeholder or wrong type")</f>
        <v>PASS</v>
      </c>
    </row>
    <row r="8" customFormat="false" ht="15" hidden="false" customHeight="false" outlineLevel="0" collapsed="false">
      <c r="A8" s="10" t="s">
        <v>1533</v>
      </c>
      <c r="B8" s="68" t="s">
        <v>1539</v>
      </c>
      <c r="C8" s="80" t="n">
        <v>30</v>
      </c>
      <c r="D8" s="11" t="s">
        <v>1535</v>
      </c>
      <c r="E8" s="15" t="s">
        <v>1540</v>
      </c>
      <c r="F8" s="16" t="str">
        <f aca="false">IF(AND(LEN(TRIM(A8&amp;""))&gt;0,TRIM(A8&amp;"")&lt;&gt;"—",LEN(TRIM(B8&amp;""))&gt;0,TRIM(B8&amp;"")&lt;&gt;"—",LEN(TRIM(C8&amp;""))&gt;0,TRIM(C8&amp;"")&lt;&gt;"—",LEN(TRIM(E8&amp;""))&gt;0,TRIM(E8&amp;"")&lt;&gt;"—"),"PASS","⚠ FAIL — "&amp;"a required cell is empty/placeholder or wrong type")</f>
        <v>PASS</v>
      </c>
    </row>
    <row r="9" customFormat="false" ht="27" hidden="false" customHeight="true" outlineLevel="0" collapsed="false">
      <c r="A9" s="10" t="s">
        <v>1533</v>
      </c>
      <c r="B9" s="68" t="s">
        <v>1541</v>
      </c>
      <c r="C9" s="80" t="n">
        <v>3</v>
      </c>
      <c r="D9" s="11" t="s">
        <v>1535</v>
      </c>
      <c r="E9" s="15" t="s">
        <v>1542</v>
      </c>
      <c r="F9" s="16" t="str">
        <f aca="false">IF(AND(LEN(TRIM(A9&amp;""))&gt;0,TRIM(A9&amp;"")&lt;&gt;"—",LEN(TRIM(B9&amp;""))&gt;0,TRIM(B9&amp;"")&lt;&gt;"—",LEN(TRIM(C9&amp;""))&gt;0,TRIM(C9&amp;"")&lt;&gt;"—",LEN(TRIM(E9&amp;""))&gt;0,TRIM(E9&amp;"")&lt;&gt;"—"),"PASS","⚠ FAIL — "&amp;"a required cell is empty/placeholder or wrong type")</f>
        <v>PASS</v>
      </c>
    </row>
    <row r="10" customFormat="false" ht="27" hidden="false" customHeight="true" outlineLevel="0" collapsed="false">
      <c r="A10" s="10" t="s">
        <v>1533</v>
      </c>
      <c r="B10" s="68" t="s">
        <v>1543</v>
      </c>
      <c r="C10" s="80" t="n">
        <v>30</v>
      </c>
      <c r="D10" s="11" t="s">
        <v>1535</v>
      </c>
      <c r="E10" s="15" t="s">
        <v>1544</v>
      </c>
      <c r="F10" s="16" t="str">
        <f aca="false">IF(AND(LEN(TRIM(A10&amp;""))&gt;0,TRIM(A10&amp;"")&lt;&gt;"—",LEN(TRIM(B10&amp;""))&gt;0,TRIM(B10&amp;"")&lt;&gt;"—",LEN(TRIM(C10&amp;""))&gt;0,TRIM(C10&amp;"")&lt;&gt;"—",LEN(TRIM(E10&amp;""))&gt;0,TRIM(E10&amp;"")&lt;&gt;"—"),"PASS","⚠ FAIL — "&amp;"a required cell is empty/placeholder or wrong type")</f>
        <v>PASS</v>
      </c>
    </row>
    <row r="11" customFormat="false" ht="15" hidden="false" customHeight="false" outlineLevel="0" collapsed="false">
      <c r="A11" s="10" t="s">
        <v>1533</v>
      </c>
      <c r="B11" s="68" t="s">
        <v>1545</v>
      </c>
      <c r="C11" s="80" t="n">
        <v>45</v>
      </c>
      <c r="D11" s="11" t="s">
        <v>1535</v>
      </c>
      <c r="E11" s="15" t="s">
        <v>1546</v>
      </c>
      <c r="F11" s="16" t="str">
        <f aca="false">IF(AND(LEN(TRIM(A11&amp;""))&gt;0,TRIM(A11&amp;"")&lt;&gt;"—",LEN(TRIM(B11&amp;""))&gt;0,TRIM(B11&amp;"")&lt;&gt;"—",LEN(TRIM(C11&amp;""))&gt;0,TRIM(C11&amp;"")&lt;&gt;"—",LEN(TRIM(E11&amp;""))&gt;0,TRIM(E11&amp;"")&lt;&gt;"—"),"PASS","⚠ FAIL — "&amp;"a required cell is empty/placeholder or wrong type")</f>
        <v>PASS</v>
      </c>
    </row>
    <row r="12" customFormat="false" ht="27" hidden="false" customHeight="true" outlineLevel="0" collapsed="false">
      <c r="A12" s="10" t="s">
        <v>1533</v>
      </c>
      <c r="B12" s="68" t="s">
        <v>1547</v>
      </c>
      <c r="C12" s="11" t="s">
        <v>1548</v>
      </c>
      <c r="D12" s="11" t="s">
        <v>1549</v>
      </c>
      <c r="E12" s="15" t="s">
        <v>1550</v>
      </c>
      <c r="F12" s="16" t="str">
        <f aca="false">IF(AND(LEN(TRIM(A12&amp;""))&gt;0,TRIM(A12&amp;"")&lt;&gt;"—",LEN(TRIM(B12&amp;""))&gt;0,TRIM(B12&amp;"")&lt;&gt;"—",LEN(TRIM(C12&amp;""))&gt;0,TRIM(C12&amp;"")&lt;&gt;"—",LEN(TRIM(E12&amp;""))&gt;0,TRIM(E12&amp;"")&lt;&gt;"—"),"PASS","⚠ FAIL — "&amp;"a required cell is empty/placeholder or wrong type")</f>
        <v>PASS</v>
      </c>
    </row>
    <row r="13" customFormat="false" ht="15" hidden="false" customHeight="false" outlineLevel="0" collapsed="false">
      <c r="A13" s="8" t="s">
        <v>108</v>
      </c>
      <c r="B13" s="8"/>
      <c r="C13" s="8"/>
      <c r="D13" s="8"/>
      <c r="E13" s="8"/>
    </row>
    <row r="14" customFormat="false" ht="27" hidden="false" customHeight="true" outlineLevel="0" collapsed="false">
      <c r="A14" s="10" t="s">
        <v>108</v>
      </c>
      <c r="B14" s="68" t="s">
        <v>1551</v>
      </c>
      <c r="C14" s="80" t="n">
        <v>6</v>
      </c>
      <c r="D14" s="11" t="s">
        <v>1535</v>
      </c>
      <c r="E14" s="15" t="s">
        <v>1552</v>
      </c>
      <c r="F14" s="16" t="str">
        <f aca="false">IF(AND(LEN(TRIM(A14&amp;""))&gt;0,TRIM(A14&amp;"")&lt;&gt;"—",LEN(TRIM(B14&amp;""))&gt;0,TRIM(B14&amp;"")&lt;&gt;"—",LEN(TRIM(C14&amp;""))&gt;0,TRIM(C14&amp;"")&lt;&gt;"—",LEN(TRIM(E14&amp;""))&gt;0,TRIM(E14&amp;"")&lt;&gt;"—"),"PASS","⚠ FAIL — "&amp;"a required cell is empty/placeholder or wrong type")</f>
        <v>PASS</v>
      </c>
    </row>
    <row r="15" customFormat="false" ht="15" hidden="false" customHeight="false" outlineLevel="0" collapsed="false">
      <c r="A15" s="10" t="s">
        <v>108</v>
      </c>
      <c r="B15" s="68" t="s">
        <v>1553</v>
      </c>
      <c r="C15" s="80" t="n">
        <v>9</v>
      </c>
      <c r="D15" s="11" t="s">
        <v>1535</v>
      </c>
      <c r="E15" s="15" t="s">
        <v>1554</v>
      </c>
      <c r="F15" s="16" t="str">
        <f aca="false">IF(AND(LEN(TRIM(A15&amp;""))&gt;0,TRIM(A15&amp;"")&lt;&gt;"—",LEN(TRIM(B15&amp;""))&gt;0,TRIM(B15&amp;"")&lt;&gt;"—",LEN(TRIM(C15&amp;""))&gt;0,TRIM(C15&amp;"")&lt;&gt;"—",LEN(TRIM(E15&amp;""))&gt;0,TRIM(E15&amp;"")&lt;&gt;"—"),"PASS","⚠ FAIL — "&amp;"a required cell is empty/placeholder or wrong type")</f>
        <v>PASS</v>
      </c>
    </row>
    <row r="16" customFormat="false" ht="15" hidden="false" customHeight="false" outlineLevel="0" collapsed="false">
      <c r="A16" s="8" t="s">
        <v>110</v>
      </c>
      <c r="B16" s="8"/>
      <c r="C16" s="8"/>
      <c r="D16" s="8"/>
      <c r="E16" s="8"/>
    </row>
    <row r="17" customFormat="false" ht="27" hidden="false" customHeight="true" outlineLevel="0" collapsed="false">
      <c r="A17" s="10" t="s">
        <v>110</v>
      </c>
      <c r="B17" s="68" t="s">
        <v>1555</v>
      </c>
      <c r="C17" s="11" t="s">
        <v>1556</v>
      </c>
      <c r="D17" s="11"/>
      <c r="E17" s="15" t="s">
        <v>1557</v>
      </c>
      <c r="F17" s="16" t="str">
        <f aca="false">IF(AND(LEN(TRIM(A17&amp;""))&gt;0,TRIM(A17&amp;"")&lt;&gt;"—",LEN(TRIM(B17&amp;""))&gt;0,TRIM(B17&amp;"")&lt;&gt;"—",LEN(TRIM(C17&amp;""))&gt;0,TRIM(C17&amp;"")&lt;&gt;"—",LEN(TRIM(E17&amp;""))&gt;0,TRIM(E17&amp;"")&lt;&gt;"—"),"PASS","⚠ FAIL — "&amp;"a required cell is empty/placeholder or wrong type")</f>
        <v>PASS</v>
      </c>
    </row>
    <row r="18" customFormat="false" ht="27" hidden="false" customHeight="true" outlineLevel="0" collapsed="false">
      <c r="A18" s="10" t="s">
        <v>110</v>
      </c>
      <c r="B18" s="68" t="s">
        <v>1558</v>
      </c>
      <c r="C18" s="11" t="s">
        <v>1559</v>
      </c>
      <c r="D18" s="11" t="s">
        <v>1560</v>
      </c>
      <c r="E18" s="15" t="s">
        <v>1561</v>
      </c>
      <c r="F18" s="16" t="str">
        <f aca="false">IF(AND(LEN(TRIM(A18&amp;""))&gt;0,TRIM(A18&amp;"")&lt;&gt;"—",LEN(TRIM(B18&amp;""))&gt;0,TRIM(B18&amp;"")&lt;&gt;"—",LEN(TRIM(C18&amp;""))&gt;0,TRIM(C18&amp;"")&lt;&gt;"—",LEN(TRIM(E18&amp;""))&gt;0,TRIM(E18&amp;"")&lt;&gt;"—"),"PASS","⚠ FAIL — "&amp;"a required cell is empty/placeholder or wrong type")</f>
        <v>PASS</v>
      </c>
    </row>
    <row r="19" customFormat="false" ht="15" hidden="false" customHeight="false" outlineLevel="0" collapsed="false">
      <c r="A19" s="10" t="s">
        <v>110</v>
      </c>
      <c r="B19" s="68" t="s">
        <v>1562</v>
      </c>
      <c r="C19" s="11" t="s">
        <v>1563</v>
      </c>
      <c r="D19" s="11"/>
      <c r="E19" s="15" t="s">
        <v>1564</v>
      </c>
      <c r="F19" s="16" t="str">
        <f aca="false">IF(AND(LEN(TRIM(A19&amp;""))&gt;0,TRIM(A19&amp;"")&lt;&gt;"—",LEN(TRIM(B19&amp;""))&gt;0,TRIM(B19&amp;"")&lt;&gt;"—",LEN(TRIM(C19&amp;""))&gt;0,TRIM(C19&amp;"")&lt;&gt;"—",LEN(TRIM(E19&amp;""))&gt;0,TRIM(E19&amp;"")&lt;&gt;"—"),"PASS","⚠ FAIL — "&amp;"a required cell is empty/placeholder or wrong type")</f>
        <v>PASS</v>
      </c>
    </row>
    <row r="20" customFormat="false" ht="15" hidden="false" customHeight="false" outlineLevel="0" collapsed="false">
      <c r="A20" s="10" t="s">
        <v>110</v>
      </c>
      <c r="B20" s="68" t="s">
        <v>1565</v>
      </c>
      <c r="C20" s="80" t="n">
        <v>0.95</v>
      </c>
      <c r="D20" s="11"/>
      <c r="E20" s="15" t="s">
        <v>1566</v>
      </c>
      <c r="F20" s="16" t="str">
        <f aca="false">IF(AND(LEN(TRIM(A20&amp;""))&gt;0,TRIM(A20&amp;"")&lt;&gt;"—",LEN(TRIM(B20&amp;""))&gt;0,TRIM(B20&amp;"")&lt;&gt;"—",LEN(TRIM(C20&amp;""))&gt;0,TRIM(C20&amp;"")&lt;&gt;"—",LEN(TRIM(E20&amp;""))&gt;0,TRIM(E20&amp;"")&lt;&gt;"—"),"PASS","⚠ FAIL — "&amp;"a required cell is empty/placeholder or wrong type")</f>
        <v>PASS</v>
      </c>
    </row>
    <row r="21" customFormat="false" ht="27" hidden="false" customHeight="true" outlineLevel="0" collapsed="false">
      <c r="A21" s="10" t="s">
        <v>110</v>
      </c>
      <c r="B21" s="68" t="s">
        <v>1567</v>
      </c>
      <c r="C21" s="80" t="n">
        <v>2500</v>
      </c>
      <c r="D21" s="11" t="s">
        <v>1568</v>
      </c>
      <c r="E21" s="15" t="s">
        <v>1569</v>
      </c>
      <c r="F21" s="16" t="str">
        <f aca="false">IF(AND(LEN(TRIM(A21&amp;""))&gt;0,TRIM(A21&amp;"")&lt;&gt;"—",LEN(TRIM(B21&amp;""))&gt;0,TRIM(B21&amp;"")&lt;&gt;"—",LEN(TRIM(C21&amp;""))&gt;0,TRIM(C21&amp;"")&lt;&gt;"—",LEN(TRIM(E21&amp;""))&gt;0,TRIM(E21&amp;"")&lt;&gt;"—"),"PASS","⚠ FAIL — "&amp;"a required cell is empty/placeholder or wrong type")</f>
        <v>PASS</v>
      </c>
    </row>
    <row r="22" customFormat="false" ht="15" hidden="false" customHeight="false" outlineLevel="0" collapsed="false">
      <c r="A22" s="8" t="s">
        <v>98</v>
      </c>
      <c r="B22" s="8"/>
      <c r="C22" s="8"/>
      <c r="D22" s="8"/>
      <c r="E22" s="8"/>
    </row>
    <row r="23" customFormat="false" ht="27" hidden="false" customHeight="true" outlineLevel="0" collapsed="false">
      <c r="A23" s="10" t="s">
        <v>98</v>
      </c>
      <c r="B23" s="68" t="s">
        <v>1570</v>
      </c>
      <c r="C23" s="80" t="n">
        <v>2.5</v>
      </c>
      <c r="D23" s="11" t="s">
        <v>1571</v>
      </c>
      <c r="E23" s="15" t="s">
        <v>1572</v>
      </c>
      <c r="F23" s="16" t="str">
        <f aca="false">IF(AND(LEN(TRIM(A23&amp;""))&gt;0,TRIM(A23&amp;"")&lt;&gt;"—",LEN(TRIM(B23&amp;""))&gt;0,TRIM(B23&amp;"")&lt;&gt;"—",LEN(TRIM(C23&amp;""))&gt;0,TRIM(C23&amp;"")&lt;&gt;"—",LEN(TRIM(E23&amp;""))&gt;0,TRIM(E23&amp;"")&lt;&gt;"—"),"PASS","⚠ FAIL — "&amp;"a required cell is empty/placeholder or wrong type")</f>
        <v>PASS</v>
      </c>
    </row>
    <row r="24" customFormat="false" ht="15" hidden="false" customHeight="false" outlineLevel="0" collapsed="false">
      <c r="A24" s="8" t="s">
        <v>1573</v>
      </c>
      <c r="B24" s="8"/>
      <c r="C24" s="8"/>
      <c r="D24" s="8"/>
      <c r="E24" s="8"/>
    </row>
    <row r="25" customFormat="false" ht="27" hidden="false" customHeight="true" outlineLevel="0" collapsed="false">
      <c r="A25" s="10" t="s">
        <v>1573</v>
      </c>
      <c r="B25" s="68" t="s">
        <v>1574</v>
      </c>
      <c r="C25" s="80" t="n">
        <v>90</v>
      </c>
      <c r="D25" s="11" t="s">
        <v>163</v>
      </c>
      <c r="E25" s="15" t="s">
        <v>1575</v>
      </c>
      <c r="F25" s="16" t="str">
        <f aca="false">IF(AND(LEN(TRIM(A25&amp;""))&gt;0,TRIM(A25&amp;"")&lt;&gt;"—",LEN(TRIM(B25&amp;""))&gt;0,TRIM(B25&amp;"")&lt;&gt;"—",LEN(TRIM(C25&amp;""))&gt;0,TRIM(C25&amp;"")&lt;&gt;"—",LEN(TRIM(E25&amp;""))&gt;0,TRIM(E25&amp;"")&lt;&gt;"—"),"PASS","⚠ FAIL — "&amp;"a required cell is empty/placeholder or wrong type")</f>
        <v>PASS</v>
      </c>
    </row>
    <row r="26" customFormat="false" ht="27" hidden="false" customHeight="true" outlineLevel="0" collapsed="false">
      <c r="A26" s="10" t="s">
        <v>1573</v>
      </c>
      <c r="B26" s="68" t="s">
        <v>1576</v>
      </c>
      <c r="C26" s="80" t="n">
        <v>90</v>
      </c>
      <c r="D26" s="11" t="s">
        <v>33</v>
      </c>
      <c r="E26" s="15" t="s">
        <v>1577</v>
      </c>
      <c r="F26" s="16" t="str">
        <f aca="false">IF(AND(LEN(TRIM(A26&amp;""))&gt;0,TRIM(A26&amp;"")&lt;&gt;"—",LEN(TRIM(B26&amp;""))&gt;0,TRIM(B26&amp;"")&lt;&gt;"—",LEN(TRIM(C26&amp;""))&gt;0,TRIM(C26&amp;"")&lt;&gt;"—",LEN(TRIM(E26&amp;""))&gt;0,TRIM(E26&amp;"")&lt;&gt;"—"),"PASS","⚠ FAIL — "&amp;"a required cell is empty/placeholder or wrong type")</f>
        <v>PASS</v>
      </c>
    </row>
    <row r="27" customFormat="false" ht="27" hidden="false" customHeight="true" outlineLevel="0" collapsed="false">
      <c r="A27" s="10" t="s">
        <v>1573</v>
      </c>
      <c r="B27" s="68" t="s">
        <v>1578</v>
      </c>
      <c r="C27" s="80" t="n">
        <v>90</v>
      </c>
      <c r="D27" s="11" t="s">
        <v>163</v>
      </c>
      <c r="E27" s="15" t="s">
        <v>1579</v>
      </c>
      <c r="F27" s="16" t="str">
        <f aca="false">IF(AND(LEN(TRIM(A27&amp;""))&gt;0,TRIM(A27&amp;"")&lt;&gt;"—",LEN(TRIM(B27&amp;""))&gt;0,TRIM(B27&amp;"")&lt;&gt;"—",LEN(TRIM(C27&amp;""))&gt;0,TRIM(C27&amp;"")&lt;&gt;"—",LEN(TRIM(E27&amp;""))&gt;0,TRIM(E27&amp;"")&lt;&gt;"—"),"PASS","⚠ FAIL — "&amp;"a required cell is empty/placeholder or wrong type")</f>
        <v>PASS</v>
      </c>
    </row>
    <row r="28" customFormat="false" ht="27" hidden="false" customHeight="true" outlineLevel="0" collapsed="false">
      <c r="A28" s="10" t="s">
        <v>1573</v>
      </c>
      <c r="B28" s="68" t="s">
        <v>1580</v>
      </c>
      <c r="C28" s="80" t="n">
        <v>90</v>
      </c>
      <c r="D28" s="11" t="s">
        <v>33</v>
      </c>
      <c r="E28" s="15" t="s">
        <v>1581</v>
      </c>
      <c r="F28" s="16" t="str">
        <f aca="false">IF(AND(LEN(TRIM(A28&amp;""))&gt;0,TRIM(A28&amp;"")&lt;&gt;"—",LEN(TRIM(B28&amp;""))&gt;0,TRIM(B28&amp;"")&lt;&gt;"—",LEN(TRIM(C28&amp;""))&gt;0,TRIM(C28&amp;"")&lt;&gt;"—",LEN(TRIM(E28&amp;""))&gt;0,TRIM(E28&amp;"")&lt;&gt;"—"),"PASS","⚠ FAIL — "&amp;"a required cell is empty/placeholder or wrong type")</f>
        <v>PASS</v>
      </c>
    </row>
    <row r="29" customFormat="false" ht="27" hidden="false" customHeight="true" outlineLevel="0" collapsed="false">
      <c r="A29" s="10" t="s">
        <v>1573</v>
      </c>
      <c r="B29" s="68" t="s">
        <v>1582</v>
      </c>
      <c r="C29" s="80" t="n">
        <v>90</v>
      </c>
      <c r="D29" s="11" t="s">
        <v>163</v>
      </c>
      <c r="E29" s="15" t="s">
        <v>1583</v>
      </c>
      <c r="F29" s="16" t="str">
        <f aca="false">IF(AND(LEN(TRIM(A29&amp;""))&gt;0,TRIM(A29&amp;"")&lt;&gt;"—",LEN(TRIM(B29&amp;""))&gt;0,TRIM(B29&amp;"")&lt;&gt;"—",LEN(TRIM(C29&amp;""))&gt;0,TRIM(C29&amp;"")&lt;&gt;"—",LEN(TRIM(E29&amp;""))&gt;0,TRIM(E29&amp;"")&lt;&gt;"—"),"PASS","⚠ FAIL — "&amp;"a required cell is empty/placeholder or wrong type")</f>
        <v>PASS</v>
      </c>
    </row>
    <row r="30" customFormat="false" ht="27" hidden="false" customHeight="true" outlineLevel="0" collapsed="false">
      <c r="A30" s="10" t="s">
        <v>1573</v>
      </c>
      <c r="B30" s="68" t="s">
        <v>1584</v>
      </c>
      <c r="C30" s="80" t="n">
        <v>75</v>
      </c>
      <c r="D30" s="11" t="s">
        <v>1585</v>
      </c>
      <c r="E30" s="15" t="s">
        <v>1586</v>
      </c>
      <c r="F30" s="16" t="str">
        <f aca="false">IF(AND(LEN(TRIM(A30&amp;""))&gt;0,TRIM(A30&amp;"")&lt;&gt;"—",LEN(TRIM(B30&amp;""))&gt;0,TRIM(B30&amp;"")&lt;&gt;"—",LEN(TRIM(C30&amp;""))&gt;0,TRIM(C30&amp;"")&lt;&gt;"—",LEN(TRIM(E30&amp;""))&gt;0,TRIM(E30&amp;"")&lt;&gt;"—"),"PASS","⚠ FAIL — "&amp;"a required cell is empty/placeholder or wrong type")</f>
        <v>PASS</v>
      </c>
    </row>
    <row r="31" customFormat="false" ht="27" hidden="false" customHeight="true" outlineLevel="0" collapsed="false">
      <c r="A31" s="10" t="s">
        <v>1573</v>
      </c>
      <c r="B31" s="68" t="s">
        <v>1587</v>
      </c>
      <c r="C31" s="80" t="n">
        <v>53</v>
      </c>
      <c r="D31" s="11" t="s">
        <v>1588</v>
      </c>
      <c r="E31" s="15" t="s">
        <v>1589</v>
      </c>
      <c r="F31" s="16" t="str">
        <f aca="false">IF(AND(LEN(TRIM(A31&amp;""))&gt;0,TRIM(A31&amp;"")&lt;&gt;"—",LEN(TRIM(B31&amp;""))&gt;0,TRIM(B31&amp;"")&lt;&gt;"—",LEN(TRIM(C31&amp;""))&gt;0,TRIM(C31&amp;"")&lt;&gt;"—",LEN(TRIM(E31&amp;""))&gt;0,TRIM(E31&amp;"")&lt;&gt;"—"),"PASS","⚠ FAIL — "&amp;"a required cell is empty/placeholder or wrong type")</f>
        <v>PASS</v>
      </c>
    </row>
    <row r="32" customFormat="false" ht="15" hidden="false" customHeight="false" outlineLevel="0" collapsed="false">
      <c r="A32" s="8" t="s">
        <v>1590</v>
      </c>
      <c r="B32" s="8"/>
      <c r="C32" s="8"/>
      <c r="D32" s="8"/>
      <c r="E32" s="8"/>
    </row>
    <row r="33" customFormat="false" ht="27" hidden="false" customHeight="true" outlineLevel="0" collapsed="false">
      <c r="A33" s="10" t="s">
        <v>1590</v>
      </c>
      <c r="B33" s="68" t="s">
        <v>1591</v>
      </c>
      <c r="C33" s="80" t="n">
        <v>1000</v>
      </c>
      <c r="D33" s="11" t="s">
        <v>1592</v>
      </c>
      <c r="E33" s="15" t="s">
        <v>1593</v>
      </c>
      <c r="F33" s="16" t="str">
        <f aca="false">IF(AND(LEN(TRIM(A33&amp;""))&gt;0,TRIM(A33&amp;"")&lt;&gt;"—",LEN(TRIM(B33&amp;""))&gt;0,TRIM(B33&amp;"")&lt;&gt;"—",LEN(TRIM(C33&amp;""))&gt;0,TRIM(C33&amp;"")&lt;&gt;"—",LEN(TRIM(E33&amp;""))&gt;0,TRIM(E33&amp;"")&lt;&gt;"—"),"PASS","⚠ FAIL — "&amp;"a required cell is empty/placeholder or wrong type")</f>
        <v>PASS</v>
      </c>
    </row>
    <row r="34" customFormat="false" ht="15" hidden="false" customHeight="false" outlineLevel="0" collapsed="false">
      <c r="A34" s="8" t="s">
        <v>1594</v>
      </c>
      <c r="B34" s="8"/>
      <c r="C34" s="8"/>
      <c r="D34" s="8"/>
      <c r="E34" s="8"/>
    </row>
    <row r="35" customFormat="false" ht="27" hidden="false" customHeight="true" outlineLevel="0" collapsed="false">
      <c r="A35" s="10" t="s">
        <v>1594</v>
      </c>
      <c r="B35" s="68" t="s">
        <v>1595</v>
      </c>
      <c r="C35" s="81" t="n">
        <f aca="false">'Inputs &amp; Assumptions'!$B$14</f>
        <v>0.25</v>
      </c>
      <c r="D35" s="11"/>
      <c r="E35" s="15" t="s">
        <v>1596</v>
      </c>
      <c r="F35" s="16" t="str">
        <f aca="false">IF(AND(LEN(TRIM(A35&amp;""))&gt;0,TRIM(A35&amp;"")&lt;&gt;"—",LEN(TRIM(B35&amp;""))&gt;0,TRIM(B35&amp;"")&lt;&gt;"—",LEN(TRIM(C35&amp;""))&gt;0,TRIM(C35&amp;"")&lt;&gt;"—",LEN(TRIM(E35&amp;""))&gt;0,TRIM(E35&amp;"")&lt;&gt;"—"),"PASS","⚠ FAIL — "&amp;"a required cell is empty/placeholder or wrong type")</f>
        <v>PASS</v>
      </c>
    </row>
    <row r="36" customFormat="false" ht="27" hidden="false" customHeight="true" outlineLevel="0" collapsed="false">
      <c r="A36" s="10" t="s">
        <v>1594</v>
      </c>
      <c r="B36" s="68" t="s">
        <v>1597</v>
      </c>
      <c r="C36" s="81" t="n">
        <f aca="false">'Inputs &amp; Assumptions'!$B$11</f>
        <v>0.65</v>
      </c>
      <c r="D36" s="11"/>
      <c r="E36" s="15" t="s">
        <v>1598</v>
      </c>
      <c r="F36" s="16" t="str">
        <f aca="false">IF(AND(LEN(TRIM(A36&amp;""))&gt;0,TRIM(A36&amp;"")&lt;&gt;"—",LEN(TRIM(B36&amp;""))&gt;0,TRIM(B36&amp;"")&lt;&gt;"—",LEN(TRIM(C36&amp;""))&gt;0,TRIM(C36&amp;"")&lt;&gt;"—",LEN(TRIM(E36&amp;""))&gt;0,TRIM(E36&amp;"")&lt;&gt;"—"),"PASS","⚠ FAIL — "&amp;"a required cell is empty/placeholder or wrong type")</f>
        <v>PASS</v>
      </c>
    </row>
    <row r="37" customFormat="false" ht="27" hidden="false" customHeight="true" outlineLevel="0" collapsed="false">
      <c r="A37" s="10" t="s">
        <v>1594</v>
      </c>
      <c r="B37" s="68" t="s">
        <v>1599</v>
      </c>
      <c r="C37" s="82" t="n">
        <f aca="false">'Inputs &amp; Assumptions'!$B$12</f>
        <v>8000</v>
      </c>
      <c r="D37" s="11" t="s">
        <v>1600</v>
      </c>
      <c r="E37" s="15" t="s">
        <v>1601</v>
      </c>
      <c r="F37" s="16" t="str">
        <f aca="false">IF(AND(LEN(TRIM(A37&amp;""))&gt;0,TRIM(A37&amp;"")&lt;&gt;"—",LEN(TRIM(B37&amp;""))&gt;0,TRIM(B37&amp;"")&lt;&gt;"—",LEN(TRIM(C37&amp;""))&gt;0,TRIM(C37&amp;"")&lt;&gt;"—",LEN(TRIM(E37&amp;""))&gt;0,TRIM(E37&amp;"")&lt;&gt;"—"),"PASS","⚠ FAIL — "&amp;"a required cell is empty/placeholder or wrong type")</f>
        <v>PASS</v>
      </c>
    </row>
  </sheetData>
  <mergeCells count="10">
    <mergeCell ref="A1:E1"/>
    <mergeCell ref="A2:E2"/>
    <mergeCell ref="A3:E3"/>
    <mergeCell ref="A5:E5"/>
    <mergeCell ref="A13:E13"/>
    <mergeCell ref="A16:E16"/>
    <mergeCell ref="A22:E22"/>
    <mergeCell ref="A24:E24"/>
    <mergeCell ref="A32:E32"/>
    <mergeCell ref="A34:E34"/>
  </mergeCells>
  <hyperlinks>
    <hyperlink ref="F1" location="'Contents'!A1" display="↑ Content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LibreOffice/26.2.4.2$MacOSX_AARCH64 LibreOffice_project/0229ac93fcf0d7cbc6376066c6f35021cef002dc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2026-01-01T00:00:00Z</dcterms:created>
  <dc:creator>openpyxl</dc:creator>
  <dc:description/>
  <dc:language>en-US</dc:language>
  <cp:lastModifiedBy/>
  <dcterms:modified xmlns:dcterms="http://purl.org/dc/terms/" xmlns:xsi="http://www.w3.org/2001/XMLSchema-instance" xsi:type="dcterms:W3CDTF">2026-01-01T00:00:00Z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